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OXBOY\Company\Albany Box Company\Crates\"/>
    </mc:Choice>
  </mc:AlternateContent>
  <bookViews>
    <workbookView xWindow="0" yWindow="0" windowWidth="12912" windowHeight="4440" activeTab="2"/>
  </bookViews>
  <sheets>
    <sheet name="Side splice 24&quot;" sheetId="7" r:id="rId1"/>
    <sheet name="Lower Ass." sheetId="5" r:id="rId2"/>
    <sheet name=" Side Splice 28&quot;" sheetId="4" r:id="rId3"/>
    <sheet name="Inventory" sheetId="6" r:id="rId4"/>
  </sheets>
  <definedNames>
    <definedName name="_xlnm.Print_Area" localSheetId="2">' Side Splice 28"'!$A$1:$K$17</definedName>
    <definedName name="_xlnm.Print_Area" localSheetId="1">'Lower Ass.'!$A$1:$J$27</definedName>
    <definedName name="_xlnm.Print_Area" localSheetId="0">'Side splice 24"'!$A$1:$N$21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5" l="1"/>
  <c r="B36" i="5"/>
  <c r="H4" i="4" l="1"/>
  <c r="H4" i="7" l="1"/>
  <c r="H12" i="7" l="1"/>
  <c r="I12" i="7" s="1"/>
  <c r="B12" i="7" l="1"/>
  <c r="G11" i="7"/>
  <c r="C12" i="7"/>
  <c r="C35" i="7" l="1"/>
  <c r="D12" i="7"/>
  <c r="C11" i="7"/>
  <c r="B11" i="7" s="1"/>
  <c r="M8" i="7"/>
  <c r="M12" i="7" s="1"/>
  <c r="G12" i="7"/>
  <c r="H11" i="7" s="1"/>
  <c r="K8" i="4"/>
  <c r="H40" i="7" l="1"/>
  <c r="H39" i="7"/>
  <c r="H41" i="7"/>
  <c r="H38" i="7"/>
  <c r="I11" i="7"/>
  <c r="N12" i="7"/>
  <c r="L11" i="7"/>
  <c r="M11" i="7"/>
  <c r="H42" i="7" s="1"/>
  <c r="H10" i="7"/>
  <c r="D11" i="7"/>
  <c r="C40" i="7"/>
  <c r="C39" i="7"/>
  <c r="C41" i="7"/>
  <c r="C38" i="7"/>
  <c r="L12" i="7"/>
  <c r="C10" i="7"/>
  <c r="C4" i="6"/>
  <c r="C5" i="6" s="1"/>
  <c r="C6" i="6" s="1"/>
  <c r="C7" i="6" s="1"/>
  <c r="C37" i="7" l="1"/>
  <c r="D10" i="7"/>
  <c r="C36" i="7"/>
  <c r="H37" i="7"/>
  <c r="I10" i="7"/>
  <c r="H36" i="7"/>
  <c r="N11" i="7"/>
  <c r="L42" i="7"/>
  <c r="L39" i="7"/>
  <c r="L41" i="7"/>
  <c r="L38" i="7"/>
  <c r="L40" i="7"/>
  <c r="M10" i="7"/>
  <c r="M15" i="7" s="1"/>
  <c r="C42" i="7"/>
  <c r="G10" i="7"/>
  <c r="G13" i="7" s="1"/>
  <c r="H15" i="7"/>
  <c r="C15" i="7"/>
  <c r="B10" i="7"/>
  <c r="F39" i="5"/>
  <c r="E7" i="5"/>
  <c r="F41" i="5" l="1"/>
  <c r="L10" i="7"/>
  <c r="L13" i="7" s="1"/>
  <c r="H47" i="7" s="1"/>
  <c r="C43" i="7"/>
  <c r="C45" i="7"/>
  <c r="C44" i="7"/>
  <c r="C46" i="7"/>
  <c r="H45" i="7"/>
  <c r="H44" i="7"/>
  <c r="H46" i="7"/>
  <c r="H43" i="7"/>
  <c r="L37" i="7"/>
  <c r="N10" i="7"/>
  <c r="L36" i="7"/>
  <c r="I14" i="7"/>
  <c r="D14" i="7"/>
  <c r="L45" i="7"/>
  <c r="L44" i="7"/>
  <c r="L46" i="7"/>
  <c r="L43" i="7"/>
  <c r="H14" i="7"/>
  <c r="B13" i="7"/>
  <c r="H48" i="7" s="1"/>
  <c r="C14" i="7"/>
  <c r="B39" i="5"/>
  <c r="H49" i="7" l="1"/>
  <c r="H23" i="7"/>
  <c r="M14" i="7"/>
  <c r="N14" i="7"/>
  <c r="L47" i="7"/>
  <c r="C48" i="7"/>
  <c r="C47" i="7"/>
  <c r="L48" i="7"/>
  <c r="F42" i="5"/>
  <c r="C39" i="5"/>
  <c r="G39" i="5"/>
  <c r="G13" i="5" s="1"/>
  <c r="B41" i="5"/>
  <c r="B42" i="5"/>
  <c r="B12" i="4"/>
  <c r="C23" i="7" l="1"/>
  <c r="C49" i="7"/>
  <c r="G22" i="5"/>
  <c r="G23" i="5"/>
  <c r="C23" i="5"/>
  <c r="B23" i="5" s="1"/>
  <c r="C13" i="5"/>
  <c r="L49" i="7"/>
  <c r="L23" i="7"/>
  <c r="G42" i="5"/>
  <c r="G41" i="5"/>
  <c r="G12" i="5" s="1"/>
  <c r="G11" i="5" s="1"/>
  <c r="F23" i="5"/>
  <c r="C42" i="5"/>
  <c r="C22" i="5" s="1"/>
  <c r="C41" i="5"/>
  <c r="C12" i="5" s="1"/>
  <c r="C12" i="4"/>
  <c r="B22" i="5" l="1"/>
  <c r="C21" i="5" s="1"/>
  <c r="C16" i="7"/>
  <c r="C11" i="5"/>
  <c r="C47" i="5" s="1"/>
  <c r="F22" i="5"/>
  <c r="G21" i="5" s="1"/>
  <c r="F21" i="5" s="1"/>
  <c r="C56" i="5"/>
  <c r="C44" i="5"/>
  <c r="G45" i="5"/>
  <c r="G44" i="5"/>
  <c r="C45" i="5"/>
  <c r="M16" i="7"/>
  <c r="H16" i="7"/>
  <c r="C72" i="4"/>
  <c r="C73" i="4"/>
  <c r="C62" i="4"/>
  <c r="C60" i="4"/>
  <c r="C64" i="4"/>
  <c r="C58" i="4"/>
  <c r="C61" i="4"/>
  <c r="C59" i="4"/>
  <c r="C57" i="4"/>
  <c r="C63" i="4"/>
  <c r="C71" i="4"/>
  <c r="B13" i="5"/>
  <c r="F11" i="5"/>
  <c r="F12" i="5"/>
  <c r="F13" i="5"/>
  <c r="G47" i="5"/>
  <c r="B12" i="5"/>
  <c r="B11" i="5"/>
  <c r="K12" i="4"/>
  <c r="G12" i="4"/>
  <c r="G50" i="5" l="1"/>
  <c r="G54" i="5"/>
  <c r="G53" i="5"/>
  <c r="G56" i="5"/>
  <c r="K72" i="4"/>
  <c r="K73" i="4"/>
  <c r="G72" i="4"/>
  <c r="G73" i="4"/>
  <c r="G64" i="4"/>
  <c r="G62" i="4"/>
  <c r="G60" i="4"/>
  <c r="G58" i="4"/>
  <c r="K64" i="4"/>
  <c r="K62" i="4"/>
  <c r="K60" i="4"/>
  <c r="K58" i="4"/>
  <c r="G61" i="4"/>
  <c r="G59" i="4"/>
  <c r="G57" i="4"/>
  <c r="G63" i="4"/>
  <c r="K63" i="4"/>
  <c r="K61" i="4"/>
  <c r="K59" i="4"/>
  <c r="K57" i="4"/>
  <c r="G71" i="4"/>
  <c r="K71" i="4"/>
  <c r="F11" i="4"/>
  <c r="J11" i="4"/>
  <c r="C15" i="5"/>
  <c r="G15" i="5"/>
  <c r="G14" i="5"/>
  <c r="C14" i="5"/>
  <c r="C11" i="4"/>
  <c r="J12" i="4"/>
  <c r="F12" i="4"/>
  <c r="G11" i="4" s="1"/>
  <c r="K11" i="4"/>
  <c r="C46" i="5" l="1"/>
  <c r="G46" i="5"/>
  <c r="G48" i="5" s="1"/>
  <c r="K69" i="4"/>
  <c r="K70" i="4"/>
  <c r="G69" i="4"/>
  <c r="G70" i="4"/>
  <c r="C70" i="4"/>
  <c r="C69" i="4"/>
  <c r="K52" i="4"/>
  <c r="K56" i="4"/>
  <c r="K50" i="4"/>
  <c r="K54" i="4"/>
  <c r="G52" i="4"/>
  <c r="G56" i="4"/>
  <c r="G50" i="4"/>
  <c r="G54" i="4"/>
  <c r="C56" i="4"/>
  <c r="C50" i="4"/>
  <c r="C54" i="4"/>
  <c r="C52" i="4"/>
  <c r="C53" i="4"/>
  <c r="C51" i="4"/>
  <c r="C49" i="4"/>
  <c r="C55" i="4"/>
  <c r="K55" i="4"/>
  <c r="K53" i="4"/>
  <c r="K51" i="4"/>
  <c r="K49" i="4"/>
  <c r="G53" i="4"/>
  <c r="G51" i="4"/>
  <c r="G49" i="4"/>
  <c r="G55" i="4"/>
  <c r="K68" i="4"/>
  <c r="C68" i="4"/>
  <c r="G68" i="4"/>
  <c r="G10" i="4"/>
  <c r="G24" i="5"/>
  <c r="G25" i="5"/>
  <c r="K10" i="4"/>
  <c r="B11" i="4"/>
  <c r="C10" i="4" s="1"/>
  <c r="B21" i="5" l="1"/>
  <c r="C24" i="5" s="1"/>
  <c r="G52" i="5"/>
  <c r="C54" i="5"/>
  <c r="C50" i="5"/>
  <c r="C52" i="5"/>
  <c r="C53" i="5"/>
  <c r="C66" i="4"/>
  <c r="C67" i="4"/>
  <c r="K66" i="4"/>
  <c r="K67" i="4"/>
  <c r="G66" i="4"/>
  <c r="G67" i="4"/>
  <c r="C46" i="4"/>
  <c r="C44" i="4"/>
  <c r="C48" i="4"/>
  <c r="C42" i="4"/>
  <c r="K42" i="4"/>
  <c r="K46" i="4"/>
  <c r="K44" i="4"/>
  <c r="K48" i="4"/>
  <c r="G46" i="4"/>
  <c r="G44" i="4"/>
  <c r="G48" i="4"/>
  <c r="G42" i="4"/>
  <c r="C45" i="4"/>
  <c r="C43" i="4"/>
  <c r="C41" i="4"/>
  <c r="C47" i="4"/>
  <c r="K47" i="4"/>
  <c r="K45" i="4"/>
  <c r="K43" i="4"/>
  <c r="K41" i="4"/>
  <c r="G45" i="4"/>
  <c r="G43" i="4"/>
  <c r="G41" i="4"/>
  <c r="G47" i="4"/>
  <c r="K79" i="4"/>
  <c r="K80" i="4"/>
  <c r="K78" i="4"/>
  <c r="G79" i="4"/>
  <c r="G80" i="4"/>
  <c r="G78" i="4"/>
  <c r="C79" i="4"/>
  <c r="C78" i="4"/>
  <c r="C80" i="4"/>
  <c r="C65" i="4"/>
  <c r="K65" i="4"/>
  <c r="G65" i="4"/>
  <c r="C48" i="5"/>
  <c r="C16" i="5" s="1"/>
  <c r="G15" i="4"/>
  <c r="C15" i="4"/>
  <c r="K15" i="4"/>
  <c r="J10" i="4"/>
  <c r="J13" i="4" s="1"/>
  <c r="G55" i="5" l="1"/>
  <c r="C55" i="5"/>
  <c r="C25" i="5"/>
  <c r="C75" i="4"/>
  <c r="K74" i="4"/>
  <c r="K75" i="4"/>
  <c r="G16" i="5"/>
  <c r="C74" i="4"/>
  <c r="G74" i="4"/>
  <c r="G75" i="4"/>
  <c r="K14" i="4"/>
  <c r="B10" i="4"/>
  <c r="B13" i="4" s="1"/>
  <c r="K77" i="4" s="1"/>
  <c r="G51" i="5" l="1"/>
  <c r="G57" i="5" s="1"/>
  <c r="C51" i="5"/>
  <c r="C57" i="5" s="1"/>
  <c r="C77" i="4"/>
  <c r="C14" i="4"/>
  <c r="G26" i="5" l="1"/>
  <c r="C26" i="5"/>
  <c r="F10" i="4"/>
  <c r="F13" i="4" s="1"/>
  <c r="G77" i="4" l="1"/>
  <c r="G76" i="4"/>
  <c r="K76" i="4"/>
  <c r="C76" i="4"/>
  <c r="G14" i="4"/>
  <c r="K21" i="4" l="1"/>
  <c r="K82" i="4"/>
  <c r="G82" i="4"/>
  <c r="G21" i="4"/>
  <c r="C82" i="4"/>
  <c r="C21" i="4"/>
  <c r="G17" i="4" l="1"/>
  <c r="K17" i="4"/>
  <c r="C17" i="4"/>
  <c r="H6" i="7"/>
  <c r="H6" i="4"/>
</calcChain>
</file>

<file path=xl/sharedStrings.xml><?xml version="1.0" encoding="utf-8"?>
<sst xmlns="http://schemas.openxmlformats.org/spreadsheetml/2006/main" count="344" uniqueCount="188">
  <si>
    <t>Stock Lumber Length</t>
  </si>
  <si>
    <t>Length</t>
  </si>
  <si>
    <t># Splices</t>
  </si>
  <si>
    <t>Offset</t>
  </si>
  <si>
    <t>(in)</t>
  </si>
  <si>
    <t>Job</t>
  </si>
  <si>
    <t>Results:</t>
  </si>
  <si>
    <t>sum:</t>
  </si>
  <si>
    <t>Splice difference:</t>
  </si>
  <si>
    <t>Quantity of Boards</t>
  </si>
  <si>
    <t>C10=0</t>
  </si>
  <si>
    <t>C14&gt;=G14</t>
  </si>
  <si>
    <t>C14&gt;K14</t>
  </si>
  <si>
    <t>B12&lt;F12</t>
  </si>
  <si>
    <t>B12&lt;J12</t>
  </si>
  <si>
    <t>G10=0</t>
  </si>
  <si>
    <t>G14&gt;=C14</t>
  </si>
  <si>
    <t>G14&gt;=K14</t>
  </si>
  <si>
    <t>F12&lt;J12</t>
  </si>
  <si>
    <t>F12&lt;B12</t>
  </si>
  <si>
    <t>K10=0</t>
  </si>
  <si>
    <t>K14&gt;G14</t>
  </si>
  <si>
    <t>K14&gt;C14</t>
  </si>
  <si>
    <t>J12&lt;F12</t>
  </si>
  <si>
    <t>J12&lt;B12</t>
  </si>
  <si>
    <t>Total TRUE</t>
  </si>
  <si>
    <t>C10&gt;G10</t>
  </si>
  <si>
    <t>C10&gt;K10</t>
  </si>
  <si>
    <t>G10&gt;C10</t>
  </si>
  <si>
    <t>G10&gt;K10</t>
  </si>
  <si>
    <t>K10&gt;C10</t>
  </si>
  <si>
    <t>K10&gt;G10</t>
  </si>
  <si>
    <t>C11&lt;=B3</t>
  </si>
  <si>
    <t>K10&gt;=D3</t>
  </si>
  <si>
    <t>K9&gt;=D3</t>
  </si>
  <si>
    <t>G9&gt;=D3</t>
  </si>
  <si>
    <t>C9&gt;=D3</t>
  </si>
  <si>
    <t>C10&gt;=D3</t>
  </si>
  <si>
    <t>G10&gt;=D3</t>
  </si>
  <si>
    <t>"</t>
  </si>
  <si>
    <t>Mimimum Splice length</t>
  </si>
  <si>
    <t>32" center skids</t>
  </si>
  <si>
    <t>64" center skids</t>
  </si>
  <si>
    <t>Quantity of boards</t>
  </si>
  <si>
    <t>Side A</t>
  </si>
  <si>
    <t>Side B</t>
  </si>
  <si>
    <t>2x6</t>
  </si>
  <si>
    <t>2x4</t>
  </si>
  <si>
    <t>Sll adjust</t>
  </si>
  <si>
    <t>check:</t>
  </si>
  <si>
    <t>Result:</t>
  </si>
  <si>
    <t>Maximum Base Length</t>
  </si>
  <si>
    <t># Splices:</t>
  </si>
  <si>
    <t>MIN(C19:C21)&lt;D3</t>
  </si>
  <si>
    <t>C23&lt;F23</t>
  </si>
  <si>
    <t>MIN(F19:F21)&lt;D3</t>
  </si>
  <si>
    <t>F23&lt;=C23</t>
  </si>
  <si>
    <t>F11&gt;C11</t>
  </si>
  <si>
    <t>F12&gt;C12</t>
  </si>
  <si>
    <t>F14&lt;=C14</t>
  </si>
  <si>
    <t>MIN(F10:F12)=0</t>
  </si>
  <si>
    <t>C11&gt;F11</t>
  </si>
  <si>
    <t>C12&gt;F12</t>
  </si>
  <si>
    <t>C14&lt;F14</t>
  </si>
  <si>
    <t>MIN(C10:C12)=0</t>
  </si>
  <si>
    <t>MIN(F19:F21)&gt;=MIN(C19:C21)</t>
  </si>
  <si>
    <t>MIN(C19:C21)&gt;=MIN(F19:F21)</t>
  </si>
  <si>
    <t>Length (Ft)</t>
  </si>
  <si>
    <t>Grade</t>
  </si>
  <si>
    <t>Condition</t>
  </si>
  <si>
    <t>Econn-</t>
  </si>
  <si>
    <t>Grn</t>
  </si>
  <si>
    <t>2&amp;Btr-</t>
  </si>
  <si>
    <t>HT</t>
  </si>
  <si>
    <t>1x4 combinations</t>
  </si>
  <si>
    <t>1x4-Econn-Grn</t>
  </si>
  <si>
    <t>1x4-2&amp;Btr-Grn</t>
  </si>
  <si>
    <t>1x4-Econn-HT</t>
  </si>
  <si>
    <t>1x4-2&amp;Btr-HT</t>
  </si>
  <si>
    <t>2x4 combinations</t>
  </si>
  <si>
    <t>2x4-Econn-Grn</t>
  </si>
  <si>
    <t>2x4-2&amp;Btr-Grn</t>
  </si>
  <si>
    <t>2x4-Econn-HT</t>
  </si>
  <si>
    <t>2x4-2&amp;Btr-HT</t>
  </si>
  <si>
    <t>2x6 combinations</t>
  </si>
  <si>
    <t>2x6-Econn-Grn</t>
  </si>
  <si>
    <t>2x6-2&amp;Btr-Grn</t>
  </si>
  <si>
    <t>2x6-Econn-HT</t>
  </si>
  <si>
    <t>2x6-2&amp;Btr-HT</t>
  </si>
  <si>
    <t>4x4 combinations</t>
  </si>
  <si>
    <t>4x4-Econn-Grn</t>
  </si>
  <si>
    <t>4x4-2&amp;Btr-Grn</t>
  </si>
  <si>
    <t>4x4-Econn-HT</t>
  </si>
  <si>
    <t>4x4-2&amp;Btr-HT</t>
  </si>
  <si>
    <t>Length (in)</t>
  </si>
  <si>
    <t>4x3 combinations</t>
  </si>
  <si>
    <t>4x3-2&amp;Btr-Grn</t>
  </si>
  <si>
    <t>4x3-2&amp;Btr-HT</t>
  </si>
  <si>
    <t>4x3-CI-Grn</t>
  </si>
  <si>
    <t>4x3-CI-HT</t>
  </si>
  <si>
    <t>LOWER ASSEMBLY</t>
  </si>
  <si>
    <t>2 x 6</t>
  </si>
  <si>
    <t>2 x 4</t>
  </si>
  <si>
    <t>Build #</t>
  </si>
  <si>
    <t>C15&gt;=G15</t>
  </si>
  <si>
    <t>C15&gt;=K15</t>
  </si>
  <si>
    <t>B13&lt;F13</t>
  </si>
  <si>
    <t>F13&lt;J13</t>
  </si>
  <si>
    <t>J13&lt;F13</t>
  </si>
  <si>
    <t>G15&gt;=C15</t>
  </si>
  <si>
    <t>K15&gt;=G15</t>
  </si>
  <si>
    <t>C10&lt;&gt;C12</t>
  </si>
  <si>
    <t>G10&lt;&gt;G12</t>
  </si>
  <si>
    <t>K10&lt;&gt;K12</t>
  </si>
  <si>
    <t>B13&lt;J13</t>
  </si>
  <si>
    <t>F13&lt;B13</t>
  </si>
  <si>
    <t>J13&lt;B13</t>
  </si>
  <si>
    <t>MINIMUM SPLICE LENGTH</t>
  </si>
  <si>
    <t>SPLICE DIFFERENCE COMPARE</t>
  </si>
  <si>
    <t>K15&gt;=C15</t>
  </si>
  <si>
    <t>G15&gt;=K14</t>
  </si>
  <si>
    <t>C10+-FROM 24</t>
  </si>
  <si>
    <t>C10+-FROM 48</t>
  </si>
  <si>
    <t>C10+-FROM 72</t>
  </si>
  <si>
    <t>C10+-FROM 96</t>
  </si>
  <si>
    <t>C11+-FROM 24</t>
  </si>
  <si>
    <t>C11+-FROM 48</t>
  </si>
  <si>
    <t>C11+-FROM 72</t>
  </si>
  <si>
    <t>C11+-FROM 96</t>
  </si>
  <si>
    <t>C12+-FROM 24</t>
  </si>
  <si>
    <t>C12+-FROM 48</t>
  </si>
  <si>
    <t>C12+-FROM 72</t>
  </si>
  <si>
    <t>C12+-FROM 96</t>
  </si>
  <si>
    <t>G10+-FROM 24</t>
  </si>
  <si>
    <t>G10+-FROM 48</t>
  </si>
  <si>
    <t>G10+-FROM 72</t>
  </si>
  <si>
    <t>G10+-FROM 96</t>
  </si>
  <si>
    <t>G11+-FROM 24</t>
  </si>
  <si>
    <t>G11+-FROM 48</t>
  </si>
  <si>
    <t>G11+-FROM 72</t>
  </si>
  <si>
    <t>G11+-FROM 96</t>
  </si>
  <si>
    <t>G12+-FROM 24</t>
  </si>
  <si>
    <t>G12+-FROM 48</t>
  </si>
  <si>
    <t>G12+-FROM 72</t>
  </si>
  <si>
    <t>G12+-FROM 96</t>
  </si>
  <si>
    <t>K10+-FROM 24</t>
  </si>
  <si>
    <t>K10+-FROM 48</t>
  </si>
  <si>
    <t>K10+-FROM 72</t>
  </si>
  <si>
    <t>K10+-FROM 96</t>
  </si>
  <si>
    <t>K11+-FROM 24</t>
  </si>
  <si>
    <t>K11+-FROM 48</t>
  </si>
  <si>
    <t>K11+-FROM 72</t>
  </si>
  <si>
    <t>K11+-FROM 96</t>
  </si>
  <si>
    <t>K12+-FROM 24</t>
  </si>
  <si>
    <t>K12+-FROM 48</t>
  </si>
  <si>
    <t>K12+-FROM 72</t>
  </si>
  <si>
    <t>K12+-FROM 96</t>
  </si>
  <si>
    <t>DELTA (in)</t>
  </si>
  <si>
    <t>Min. Splice Length</t>
  </si>
  <si>
    <t>Qty. of Boards</t>
  </si>
  <si>
    <t>Splice diff:</t>
  </si>
  <si>
    <t>Stock Lumber (L)</t>
  </si>
  <si>
    <t>Mimimum Splice (L)</t>
  </si>
  <si>
    <t>Adjusted (L)</t>
  </si>
  <si>
    <t>K10&gt;=F4</t>
  </si>
  <si>
    <t>G10&gt;=F4</t>
  </si>
  <si>
    <t>C10&gt;=F4</t>
  </si>
  <si>
    <t>C11&gt;=F4</t>
  </si>
  <si>
    <t>G11&gt;=F4</t>
  </si>
  <si>
    <t>K11&gt;=F4</t>
  </si>
  <si>
    <t>K12&gt;=F4</t>
  </si>
  <si>
    <t>G12&gt;=F4</t>
  </si>
  <si>
    <t>C12&gt;=F4</t>
  </si>
  <si>
    <t/>
  </si>
  <si>
    <t>MIN(C21:C23)=0</t>
  </si>
  <si>
    <t>B21&gt;E21</t>
  </si>
  <si>
    <t>CEILING.MATH(C22+C23,1,B4)&gt;CEILING.MATH(G22+G23,1,B4)</t>
  </si>
  <si>
    <t>F21&gt;B21</t>
  </si>
  <si>
    <t>MIN(G21:G23)=0</t>
  </si>
  <si>
    <t>CEILING.MATH(G22+G23)&gt;CEILING.MATH(C22+C23)</t>
  </si>
  <si>
    <t>24" SIDE SPLICE</t>
  </si>
  <si>
    <t>28" SIDE SPLICE</t>
  </si>
  <si>
    <t>2X6-32" STOCK</t>
  </si>
  <si>
    <t>2X4-32" STOCK</t>
  </si>
  <si>
    <t>NOTES:</t>
  </si>
  <si>
    <t>Section Pannels. Use Adjusted Length from calculator.</t>
  </si>
  <si>
    <t>B101289</t>
  </si>
  <si>
    <t>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</si>
</sst>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Times"/>
      <family val="1"/>
    </font>
    <font>
      <sz val="8"/>
      <color rgb="FF574123"/>
      <name val="Tahoma"/>
      <family val="2"/>
    </font>
    <font>
      <b/>
      <sz val="16"/>
      <color theme="1"/>
      <name val="Times"/>
      <family val="1"/>
    </font>
    <font>
      <sz val="8"/>
      <color theme="1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2" fillId="0" borderId="2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4" xfId="0" applyFont="1" applyBorder="1"/>
    <xf numFmtId="0" fontId="2" fillId="2" borderId="0" xfId="0" applyFont="1" applyFill="1"/>
    <xf numFmtId="0" fontId="2" fillId="0" borderId="4" xfId="0" applyFont="1" applyBorder="1" applyAlignment="1"/>
    <xf numFmtId="0" fontId="2" fillId="0" borderId="0" xfId="0" applyFont="1" applyFill="1"/>
    <xf numFmtId="0" fontId="2" fillId="4" borderId="0" xfId="0" applyFont="1" applyFill="1"/>
    <xf numFmtId="0" fontId="2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Protection="1"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/>
    <xf numFmtId="0" fontId="3" fillId="0" borderId="0" xfId="0" applyFont="1" applyAlignment="1"/>
    <xf numFmtId="0" fontId="2" fillId="0" borderId="0" xfId="0" applyFont="1" applyFill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2" fillId="3" borderId="0" xfId="0" applyFont="1" applyFill="1" applyAlignment="1" applyProtection="1">
      <alignment horizontal="center"/>
    </xf>
    <xf numFmtId="0" fontId="2" fillId="0" borderId="2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2" fillId="0" borderId="0" xfId="0" applyFont="1" applyBorder="1" applyProtection="1"/>
    <xf numFmtId="0" fontId="3" fillId="0" borderId="1" xfId="0" applyFont="1" applyBorder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4" borderId="0" xfId="0" applyFont="1" applyFill="1" applyProtection="1"/>
    <xf numFmtId="0" fontId="2" fillId="0" borderId="0" xfId="0" applyFont="1" applyFill="1" applyProtection="1"/>
    <xf numFmtId="0" fontId="2" fillId="0" borderId="1" xfId="0" applyFont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protection hidden="1"/>
    </xf>
    <xf numFmtId="0" fontId="2" fillId="0" borderId="8" xfId="0" applyFont="1" applyBorder="1" applyAlignment="1" applyProtection="1"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right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1" xfId="0" applyFont="1" applyBorder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4" borderId="0" xfId="0" applyFont="1" applyFill="1" applyProtection="1"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2" fillId="0" borderId="0" xfId="0" quotePrefix="1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2" fillId="0" borderId="0" xfId="0" applyFont="1" applyFill="1" applyBorder="1" applyAlignment="1" applyProtection="1"/>
    <xf numFmtId="0" fontId="8" fillId="0" borderId="0" xfId="0" applyFont="1"/>
    <xf numFmtId="0" fontId="3" fillId="0" borderId="0" xfId="0" applyFont="1" applyBorder="1" applyAlignment="1"/>
    <xf numFmtId="0" fontId="2" fillId="0" borderId="4" xfId="0" applyFont="1" applyFill="1" applyBorder="1" applyAlignment="1" applyProtection="1"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B6" sqref="B6"/>
    </sheetView>
  </sheetViews>
  <sheetFormatPr defaultRowHeight="13.8" x14ac:dyDescent="0.25"/>
  <cols>
    <col min="1" max="1" width="8.33203125" style="44" bestFit="1" customWidth="1"/>
    <col min="2" max="2" width="15.6640625" style="44" bestFit="1" customWidth="1"/>
    <col min="3" max="3" width="8" style="44" bestFit="1" customWidth="1"/>
    <col min="4" max="4" width="11.33203125" style="44" bestFit="1" customWidth="1"/>
    <col min="5" max="5" width="3" style="44" bestFit="1" customWidth="1"/>
    <col min="6" max="6" width="8.33203125" style="44" bestFit="1" customWidth="1"/>
    <col min="7" max="7" width="13.109375" style="44" bestFit="1" customWidth="1"/>
    <col min="8" max="8" width="8" style="44" bestFit="1" customWidth="1"/>
    <col min="9" max="9" width="11.33203125" style="44" bestFit="1" customWidth="1"/>
    <col min="10" max="10" width="2.77734375" style="44" customWidth="1"/>
    <col min="11" max="11" width="11" style="44" bestFit="1" customWidth="1"/>
    <col min="12" max="12" width="13.109375" style="44" bestFit="1" customWidth="1"/>
    <col min="13" max="13" width="8" style="44" bestFit="1" customWidth="1"/>
    <col min="14" max="14" width="11.33203125" style="44" bestFit="1" customWidth="1"/>
    <col min="15" max="16384" width="8.88671875" style="44"/>
  </cols>
  <sheetData>
    <row r="1" spans="1:17" s="19" customFormat="1" ht="28.2" customHeight="1" x14ac:dyDescent="0.35">
      <c r="A1" s="100" t="s">
        <v>180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7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7" x14ac:dyDescent="0.25">
      <c r="B3" s="44" t="s">
        <v>161</v>
      </c>
      <c r="D3" s="102" t="s">
        <v>162</v>
      </c>
      <c r="E3" s="102"/>
      <c r="F3" s="102"/>
      <c r="G3" s="45"/>
      <c r="H3" s="103" t="s">
        <v>5</v>
      </c>
      <c r="I3" s="103"/>
      <c r="J3" s="103"/>
      <c r="K3" s="103"/>
      <c r="L3" s="93"/>
    </row>
    <row r="4" spans="1:17" x14ac:dyDescent="0.25">
      <c r="B4" s="40">
        <v>96</v>
      </c>
      <c r="E4" s="30">
        <v>18</v>
      </c>
      <c r="H4" s="101" t="str">
        <f>'Lower Ass.'!H4:K4</f>
        <v>BAR</v>
      </c>
      <c r="I4" s="101"/>
      <c r="J4" s="101"/>
      <c r="K4" s="101"/>
      <c r="L4" s="37"/>
    </row>
    <row r="5" spans="1:17" x14ac:dyDescent="0.25">
      <c r="B5" s="44" t="s">
        <v>1</v>
      </c>
      <c r="H5" s="104" t="s">
        <v>103</v>
      </c>
      <c r="I5" s="104"/>
      <c r="J5" s="104"/>
      <c r="K5" s="104"/>
      <c r="L5" s="93"/>
      <c r="P5" s="19"/>
    </row>
    <row r="6" spans="1:17" x14ac:dyDescent="0.25">
      <c r="B6" s="40">
        <v>134.5</v>
      </c>
      <c r="H6" s="101" t="str">
        <f>'Lower Ass.'!H6:K6</f>
        <v>B101289</v>
      </c>
      <c r="I6" s="101"/>
      <c r="J6" s="101"/>
      <c r="K6" s="101"/>
      <c r="L6" s="94"/>
      <c r="P6" s="45"/>
    </row>
    <row r="7" spans="1:17" x14ac:dyDescent="0.25">
      <c r="B7" s="47"/>
      <c r="Q7" s="37"/>
    </row>
    <row r="8" spans="1:17" x14ac:dyDescent="0.25">
      <c r="B8" s="48" t="s">
        <v>3</v>
      </c>
      <c r="C8" s="49">
        <v>0</v>
      </c>
      <c r="D8" s="50"/>
      <c r="E8" s="50"/>
      <c r="F8" s="45"/>
      <c r="G8" s="48" t="s">
        <v>3</v>
      </c>
      <c r="H8" s="49">
        <v>24</v>
      </c>
      <c r="I8" s="50"/>
      <c r="J8" s="50"/>
      <c r="K8" s="45"/>
      <c r="L8" s="48" t="s">
        <v>3</v>
      </c>
      <c r="M8" s="49">
        <f>2*H8</f>
        <v>48</v>
      </c>
    </row>
    <row r="9" spans="1:17" x14ac:dyDescent="0.25">
      <c r="B9" s="51" t="s">
        <v>159</v>
      </c>
      <c r="C9" s="52" t="s">
        <v>4</v>
      </c>
      <c r="D9" s="51" t="s">
        <v>163</v>
      </c>
      <c r="E9" s="53"/>
      <c r="G9" s="51" t="s">
        <v>159</v>
      </c>
      <c r="H9" s="52" t="s">
        <v>4</v>
      </c>
      <c r="I9" s="51" t="s">
        <v>163</v>
      </c>
      <c r="J9" s="53"/>
      <c r="L9" s="51" t="s">
        <v>159</v>
      </c>
      <c r="M9" s="52" t="s">
        <v>4</v>
      </c>
      <c r="N9" s="51" t="s">
        <v>163</v>
      </c>
    </row>
    <row r="10" spans="1:17" x14ac:dyDescent="0.25">
      <c r="B10" s="51">
        <f>IF(C10&lt;=0,0,1)</f>
        <v>0</v>
      </c>
      <c r="C10" s="54">
        <f>IF((B6-B11*C11-B12*C12)&lt;B4,(B6-B11*C11-B12*C12),0)</f>
        <v>0</v>
      </c>
      <c r="D10" s="61">
        <f>IF(C10&gt;0,C10-0.25,0)</f>
        <v>0</v>
      </c>
      <c r="E10" s="53"/>
      <c r="G10" s="51">
        <f>IF(H10&lt;=0,0,1)</f>
        <v>1</v>
      </c>
      <c r="H10" s="54">
        <f>IF((B6-G11*H11-H12)&gt;0,(B6-G11*H11-H12),0)</f>
        <v>14.5</v>
      </c>
      <c r="I10" s="61">
        <f>IF(H10&gt;0,H10-0.25,0)</f>
        <v>14.25</v>
      </c>
      <c r="J10" s="53"/>
      <c r="L10" s="51">
        <f>IF(M10&lt;=0,0,1)</f>
        <v>0</v>
      </c>
      <c r="M10" s="54">
        <f>IF((B6-L11*M11-M12)&gt;0,(B6-L11*M11-M12),0)</f>
        <v>0</v>
      </c>
      <c r="N10" s="61">
        <f>IF(M10&gt;0,M10-0.25,0)</f>
        <v>0</v>
      </c>
    </row>
    <row r="11" spans="1:17" x14ac:dyDescent="0.25">
      <c r="B11" s="51">
        <f>IF(C11&lt;&gt;0,1,ROUNDDOWN((B6-C12)/B4,0))</f>
        <v>1</v>
      </c>
      <c r="C11" s="54">
        <f>IF((B6-C12*B12)&gt;B4,B4,B6-B12*C12)</f>
        <v>38.5</v>
      </c>
      <c r="D11" s="61">
        <f>IF(C11&gt;0,C11-0.25,0)</f>
        <v>38.25</v>
      </c>
      <c r="E11" s="53"/>
      <c r="G11" s="51">
        <f>IF(((B6-H12)/B4)&lt;1,1,ROUNDDOWN((B6-H12)/B4,0))</f>
        <v>1</v>
      </c>
      <c r="H11" s="54">
        <f>IF((B6-G12*H12)&gt;B4,B4,B6-H12)</f>
        <v>96</v>
      </c>
      <c r="I11" s="61">
        <f>IF(H11&gt;0,H11-0.25,0)</f>
        <v>95.75</v>
      </c>
      <c r="J11" s="53"/>
      <c r="L11" s="51">
        <f>IF(((B6-M12)/B4)&lt;1,1,ROUNDDOWN((B6-M12)/B4,0))</f>
        <v>1</v>
      </c>
      <c r="M11" s="54">
        <f>IF((B6-M12)&gt;B4,B4,B6-M12)</f>
        <v>86.5</v>
      </c>
      <c r="N11" s="61">
        <f>IF(M11&gt;0,M11-0.25,0)</f>
        <v>86.25</v>
      </c>
    </row>
    <row r="12" spans="1:17" x14ac:dyDescent="0.25">
      <c r="B12" s="51">
        <f>IF(((B6)/B4)&lt;1,1,ROUNDDOWN((B6)/B4,0))</f>
        <v>1</v>
      </c>
      <c r="C12" s="54">
        <f>IF(B6&lt;=B4,B6,B4)</f>
        <v>96</v>
      </c>
      <c r="D12" s="61">
        <f>IF(C12&gt;0,C12-0.25,0)</f>
        <v>95.75</v>
      </c>
      <c r="E12" s="53"/>
      <c r="G12" s="51">
        <f>IF(H12=0,0,1)</f>
        <v>1</v>
      </c>
      <c r="H12" s="54">
        <f>IF(B6&lt;=H8,B6,H8)</f>
        <v>24</v>
      </c>
      <c r="I12" s="61">
        <f>IF(H12&gt;0,H12-0.25,0)</f>
        <v>23.75</v>
      </c>
      <c r="J12" s="53"/>
      <c r="L12" s="51">
        <f>IF(M12=0,0,1)</f>
        <v>1</v>
      </c>
      <c r="M12" s="54">
        <f>IF(B6&lt;=M8,B6,M8)</f>
        <v>48</v>
      </c>
      <c r="N12" s="61">
        <f>IF(M12&gt;0,M12-0.25,0)</f>
        <v>47.75</v>
      </c>
    </row>
    <row r="13" spans="1:17" x14ac:dyDescent="0.25">
      <c r="A13" s="55" t="s">
        <v>2</v>
      </c>
      <c r="B13" s="56">
        <f>SUM(B10:B12)-1</f>
        <v>1</v>
      </c>
      <c r="F13" s="55" t="s">
        <v>2</v>
      </c>
      <c r="G13" s="56">
        <f>SUM(G10:G12)-1</f>
        <v>2</v>
      </c>
      <c r="K13" s="55" t="s">
        <v>2</v>
      </c>
      <c r="L13" s="56">
        <f>SUM(L10:L12)-1</f>
        <v>1</v>
      </c>
    </row>
    <row r="14" spans="1:17" x14ac:dyDescent="0.25">
      <c r="B14" s="46" t="s">
        <v>7</v>
      </c>
      <c r="C14" s="57">
        <f>C11*B11+C12*B12+C10*B10</f>
        <v>134.5</v>
      </c>
      <c r="D14" s="46">
        <f>D10*B10+C11*B11+D12*B12</f>
        <v>134.25</v>
      </c>
      <c r="E14" s="46"/>
      <c r="G14" s="46" t="s">
        <v>7</v>
      </c>
      <c r="H14" s="57">
        <f>G11*H11+H12*G12+H10*G10</f>
        <v>134.5</v>
      </c>
      <c r="I14" s="46">
        <f>I10*G10+H11*G11+I12*G12</f>
        <v>134</v>
      </c>
      <c r="J14" s="46"/>
      <c r="L14" s="46" t="s">
        <v>7</v>
      </c>
      <c r="M14" s="57">
        <f>L11*M11+M12*L12+M10*L10</f>
        <v>134.5</v>
      </c>
      <c r="N14" s="46">
        <f>N10*L10+M11*L11+N12*L12</f>
        <v>134.25</v>
      </c>
    </row>
    <row r="15" spans="1:17" x14ac:dyDescent="0.25">
      <c r="B15" s="46" t="s">
        <v>160</v>
      </c>
      <c r="C15" s="50">
        <f>IF(C10=0,ABS(C11-C12),ABS(C10-C12))</f>
        <v>57.5</v>
      </c>
      <c r="G15" s="44" t="s">
        <v>160</v>
      </c>
      <c r="H15" s="50">
        <f>IF(H10=0,ABS(H11-H12),ABS(H10-H12))</f>
        <v>9.5</v>
      </c>
      <c r="L15" s="46" t="s">
        <v>160</v>
      </c>
      <c r="M15" s="57">
        <f>IF(M10=0,ABS(M11-M12),ABS(M10-M12))</f>
        <v>38.5</v>
      </c>
    </row>
    <row r="16" spans="1:17" x14ac:dyDescent="0.25">
      <c r="B16" s="46" t="s">
        <v>6</v>
      </c>
      <c r="C16" s="58" t="str">
        <f>IF(AND(C49&gt;H49,C49&gt;L49),"Good","Bad")</f>
        <v>Good</v>
      </c>
      <c r="D16" s="59"/>
      <c r="G16" s="46" t="s">
        <v>6</v>
      </c>
      <c r="H16" s="58" t="str">
        <f>IF(AND(H49&gt;C49,H49&gt;L49),"Good","Bad")</f>
        <v>Bad</v>
      </c>
      <c r="L16" s="46" t="s">
        <v>6</v>
      </c>
      <c r="M16" s="58" t="str">
        <f>IF(AND(L49&gt;H49,L49&gt;C49),"Good","Bad")</f>
        <v>Bad</v>
      </c>
      <c r="N16" s="59"/>
    </row>
    <row r="18" spans="2:14" x14ac:dyDescent="0.25">
      <c r="B18" s="44" t="s">
        <v>184</v>
      </c>
    </row>
    <row r="19" spans="2:14" x14ac:dyDescent="0.25">
      <c r="B19" s="98" t="s">
        <v>185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2:14" x14ac:dyDescent="0.25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3" spans="2:14" x14ac:dyDescent="0.25">
      <c r="B23" s="43" t="s">
        <v>25</v>
      </c>
      <c r="C23" s="61">
        <f>COUNTIF($C$35:$C$48,TRUE)</f>
        <v>8</v>
      </c>
      <c r="G23" s="60" t="s">
        <v>25</v>
      </c>
      <c r="H23" s="61">
        <f>COUNTIF($H$35:$H$48,TRUE)</f>
        <v>4</v>
      </c>
      <c r="K23" s="60" t="s">
        <v>25</v>
      </c>
      <c r="L23" s="61">
        <f>COUNTIF($L$35:$L$48,TRUE)</f>
        <v>6</v>
      </c>
    </row>
    <row r="35" spans="2:12" x14ac:dyDescent="0.25">
      <c r="B35" s="62" t="s">
        <v>32</v>
      </c>
      <c r="C35" s="44" t="b">
        <f>$C$12&lt;=$B$4</f>
        <v>1</v>
      </c>
    </row>
    <row r="36" spans="2:12" x14ac:dyDescent="0.25">
      <c r="B36" s="62" t="s">
        <v>36</v>
      </c>
      <c r="C36" s="44" t="b">
        <f>$C$10&gt;=$E$4</f>
        <v>0</v>
      </c>
      <c r="G36" s="62" t="s">
        <v>35</v>
      </c>
      <c r="H36" s="44" t="b">
        <f>$H$10&gt;=$E$4</f>
        <v>0</v>
      </c>
      <c r="K36" s="62" t="s">
        <v>34</v>
      </c>
      <c r="L36" s="44" t="b">
        <f>$M$10&gt;=$E$4</f>
        <v>0</v>
      </c>
    </row>
    <row r="37" spans="2:12" x14ac:dyDescent="0.25">
      <c r="B37" s="62" t="s">
        <v>39</v>
      </c>
      <c r="C37" s="44" t="b">
        <f>$C$10&gt;=$E$4</f>
        <v>0</v>
      </c>
      <c r="G37" s="62" t="s">
        <v>39</v>
      </c>
      <c r="H37" s="44" t="b">
        <f>$H$10&gt;=$E$4</f>
        <v>0</v>
      </c>
      <c r="K37" s="62" t="s">
        <v>39</v>
      </c>
      <c r="L37" s="44" t="b">
        <f>$M$10&gt;=$E$4</f>
        <v>0</v>
      </c>
    </row>
    <row r="38" spans="2:12" x14ac:dyDescent="0.25">
      <c r="B38" s="62" t="s">
        <v>10</v>
      </c>
      <c r="C38" s="44" t="b">
        <f>$C$11=0</f>
        <v>0</v>
      </c>
      <c r="G38" s="62" t="s">
        <v>15</v>
      </c>
      <c r="H38" s="44" t="b">
        <f>$H$11=0</f>
        <v>0</v>
      </c>
      <c r="K38" s="62" t="s">
        <v>20</v>
      </c>
      <c r="L38" s="44" t="b">
        <f>$M$11=0</f>
        <v>0</v>
      </c>
    </row>
    <row r="39" spans="2:12" x14ac:dyDescent="0.25">
      <c r="B39" s="62" t="s">
        <v>37</v>
      </c>
      <c r="C39" s="44" t="b">
        <f>$C$11&gt;=$E$4</f>
        <v>1</v>
      </c>
      <c r="G39" s="62" t="s">
        <v>38</v>
      </c>
      <c r="H39" s="44" t="b">
        <f>$H$11&gt;=$E$4</f>
        <v>1</v>
      </c>
      <c r="K39" s="62" t="s">
        <v>33</v>
      </c>
      <c r="L39" s="44" t="b">
        <f>$M$11&gt;=$E$4</f>
        <v>1</v>
      </c>
    </row>
    <row r="40" spans="2:12" x14ac:dyDescent="0.25">
      <c r="B40" s="62" t="s">
        <v>39</v>
      </c>
      <c r="C40" s="44" t="b">
        <f>$C$11&gt;=$E$4</f>
        <v>1</v>
      </c>
      <c r="G40" s="62" t="s">
        <v>39</v>
      </c>
      <c r="H40" s="44" t="b">
        <f>$H$11&gt;=$E$4</f>
        <v>1</v>
      </c>
      <c r="K40" s="62" t="s">
        <v>39</v>
      </c>
      <c r="L40" s="44" t="b">
        <f>$M$11&gt;=$E$4</f>
        <v>1</v>
      </c>
    </row>
    <row r="41" spans="2:12" x14ac:dyDescent="0.25">
      <c r="B41" s="62" t="s">
        <v>26</v>
      </c>
      <c r="C41" s="44" t="b">
        <f>$C$11&gt;$H$11</f>
        <v>0</v>
      </c>
      <c r="G41" s="62" t="s">
        <v>28</v>
      </c>
      <c r="H41" s="44" t="b">
        <f>$H$11&gt;$C$11</f>
        <v>1</v>
      </c>
      <c r="K41" s="62" t="s">
        <v>30</v>
      </c>
      <c r="L41" s="44" t="b">
        <f>$M$11&gt;$C$11</f>
        <v>1</v>
      </c>
    </row>
    <row r="42" spans="2:12" x14ac:dyDescent="0.25">
      <c r="B42" s="62" t="s">
        <v>27</v>
      </c>
      <c r="C42" s="44" t="b">
        <f>$C$11&gt;$M$11</f>
        <v>0</v>
      </c>
      <c r="G42" s="62" t="s">
        <v>29</v>
      </c>
      <c r="H42" s="44" t="b">
        <f>$H$11&gt;$M$11</f>
        <v>1</v>
      </c>
      <c r="K42" s="62" t="s">
        <v>31</v>
      </c>
      <c r="L42" s="44" t="b">
        <f>$M$11&gt;$H$11</f>
        <v>0</v>
      </c>
    </row>
    <row r="43" spans="2:12" x14ac:dyDescent="0.25">
      <c r="B43" s="63" t="s">
        <v>11</v>
      </c>
      <c r="C43" s="53" t="b">
        <f>$C$15&gt;=$H$15</f>
        <v>1</v>
      </c>
      <c r="G43" s="63" t="s">
        <v>16</v>
      </c>
      <c r="H43" s="53" t="b">
        <f>$H$15&gt;=$C$15</f>
        <v>0</v>
      </c>
      <c r="K43" s="63" t="s">
        <v>21</v>
      </c>
      <c r="L43" s="53" t="b">
        <f>$M$15&gt;$H$15</f>
        <v>1</v>
      </c>
    </row>
    <row r="44" spans="2:12" x14ac:dyDescent="0.25">
      <c r="B44" s="63" t="s">
        <v>39</v>
      </c>
      <c r="C44" s="53" t="b">
        <f>$C$15&gt;=$H$15</f>
        <v>1</v>
      </c>
      <c r="G44" s="62" t="s">
        <v>39</v>
      </c>
      <c r="H44" s="53" t="b">
        <f>$H$15&gt;=$C$15</f>
        <v>0</v>
      </c>
      <c r="K44" s="62" t="s">
        <v>39</v>
      </c>
      <c r="L44" s="53" t="b">
        <f>$M$15&gt;$H$15</f>
        <v>1</v>
      </c>
    </row>
    <row r="45" spans="2:12" x14ac:dyDescent="0.25">
      <c r="B45" s="63" t="s">
        <v>12</v>
      </c>
      <c r="C45" s="53" t="b">
        <f>$C$15&gt;$M$15</f>
        <v>1</v>
      </c>
      <c r="G45" s="63" t="s">
        <v>17</v>
      </c>
      <c r="H45" s="53" t="b">
        <f>$H$15&gt;=$M$15</f>
        <v>0</v>
      </c>
      <c r="K45" s="63" t="s">
        <v>22</v>
      </c>
      <c r="L45" s="53" t="b">
        <f>$M$15&gt;$C$15</f>
        <v>0</v>
      </c>
    </row>
    <row r="46" spans="2:12" x14ac:dyDescent="0.25">
      <c r="B46" s="63" t="s">
        <v>39</v>
      </c>
      <c r="C46" s="53" t="b">
        <f>$C$15&gt;$M$15</f>
        <v>1</v>
      </c>
      <c r="G46" s="62" t="s">
        <v>39</v>
      </c>
      <c r="H46" s="53" t="b">
        <f>$H$15&gt;=$M$15</f>
        <v>0</v>
      </c>
      <c r="K46" s="62" t="s">
        <v>39</v>
      </c>
      <c r="L46" s="53" t="b">
        <f>$M$15&gt;$C$15</f>
        <v>0</v>
      </c>
    </row>
    <row r="47" spans="2:12" x14ac:dyDescent="0.25">
      <c r="B47" s="62" t="s">
        <v>13</v>
      </c>
      <c r="C47" s="44" t="b">
        <f>$B$13&lt;$G$13</f>
        <v>1</v>
      </c>
      <c r="G47" s="62" t="s">
        <v>18</v>
      </c>
      <c r="H47" s="44" t="b">
        <f>$G$13&lt;$L$13</f>
        <v>0</v>
      </c>
      <c r="K47" s="62" t="s">
        <v>23</v>
      </c>
      <c r="L47" s="44" t="b">
        <f>$L$13&lt;$G$13</f>
        <v>1</v>
      </c>
    </row>
    <row r="48" spans="2:12" x14ac:dyDescent="0.25">
      <c r="B48" s="62" t="s">
        <v>14</v>
      </c>
      <c r="C48" s="44" t="b">
        <f>$B$13&lt;$L$13</f>
        <v>0</v>
      </c>
      <c r="G48" s="62" t="s">
        <v>19</v>
      </c>
      <c r="H48" s="44" t="b">
        <f>$G$13&lt;$B$13</f>
        <v>0</v>
      </c>
      <c r="K48" s="62" t="s">
        <v>24</v>
      </c>
      <c r="L48" s="44" t="b">
        <f>$L$13&lt;$B$13</f>
        <v>0</v>
      </c>
    </row>
    <row r="49" spans="2:12" x14ac:dyDescent="0.25">
      <c r="B49" s="60" t="s">
        <v>25</v>
      </c>
      <c r="C49" s="61">
        <f>COUNTIF($C$35:$C$48,TRUE)</f>
        <v>8</v>
      </c>
      <c r="G49" s="60" t="s">
        <v>25</v>
      </c>
      <c r="H49" s="61">
        <f>COUNTIF($H$35:$H$48,TRUE)</f>
        <v>4</v>
      </c>
      <c r="K49" s="60" t="s">
        <v>25</v>
      </c>
      <c r="L49" s="61">
        <f>COUNTIF($L$35:$L$48,TRUE)</f>
        <v>6</v>
      </c>
    </row>
  </sheetData>
  <sheetProtection sheet="1" objects="1" scenarios="1"/>
  <mergeCells count="7">
    <mergeCell ref="B19:N20"/>
    <mergeCell ref="A1:N1"/>
    <mergeCell ref="H6:K6"/>
    <mergeCell ref="D3:F3"/>
    <mergeCell ref="H3:K3"/>
    <mergeCell ref="H5:K5"/>
    <mergeCell ref="H4:K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0"/>
  <sheetViews>
    <sheetView workbookViewId="0">
      <selection activeCell="M10" sqref="M10"/>
    </sheetView>
  </sheetViews>
  <sheetFormatPr defaultRowHeight="13.8" x14ac:dyDescent="0.25"/>
  <cols>
    <col min="1" max="1" width="10.88671875" style="4" bestFit="1" customWidth="1"/>
    <col min="2" max="2" width="23.6640625" style="4" customWidth="1"/>
    <col min="3" max="3" width="8" style="4" bestFit="1" customWidth="1"/>
    <col min="4" max="4" width="8" style="4" customWidth="1"/>
    <col min="5" max="5" width="8.88671875" style="4"/>
    <col min="6" max="6" width="23.88671875" style="4" customWidth="1"/>
    <col min="7" max="7" width="10.5546875" style="4" customWidth="1"/>
    <col min="8" max="9" width="8.88671875" style="4"/>
    <col min="10" max="10" width="16.21875" style="4" bestFit="1" customWidth="1"/>
    <col min="11" max="11" width="7.77734375" style="4" bestFit="1" customWidth="1"/>
    <col min="12" max="16384" width="8.88671875" style="4"/>
  </cols>
  <sheetData>
    <row r="1" spans="1:14" ht="22.8" x14ac:dyDescent="0.4">
      <c r="A1" s="105" t="s">
        <v>100</v>
      </c>
      <c r="B1" s="105"/>
      <c r="C1" s="105"/>
      <c r="D1" s="105"/>
      <c r="E1" s="105"/>
      <c r="F1" s="105"/>
      <c r="G1" s="105"/>
      <c r="H1" s="105"/>
      <c r="I1" s="105"/>
      <c r="J1" s="105"/>
      <c r="K1" s="34"/>
      <c r="L1" s="34"/>
    </row>
    <row r="3" spans="1:14" x14ac:dyDescent="0.25">
      <c r="B3" s="5" t="s">
        <v>0</v>
      </c>
      <c r="E3" s="5" t="s">
        <v>40</v>
      </c>
      <c r="H3" s="108" t="s">
        <v>5</v>
      </c>
      <c r="I3" s="108"/>
      <c r="J3" s="108"/>
      <c r="K3" s="35"/>
      <c r="L3" s="35"/>
    </row>
    <row r="4" spans="1:14" x14ac:dyDescent="0.25">
      <c r="A4" s="6" t="s">
        <v>46</v>
      </c>
      <c r="B4" s="39">
        <v>192</v>
      </c>
      <c r="E4" s="19">
        <v>32</v>
      </c>
      <c r="H4" s="110" t="s">
        <v>187</v>
      </c>
      <c r="I4" s="111"/>
      <c r="J4" s="112"/>
      <c r="K4" s="97"/>
      <c r="L4" s="36"/>
    </row>
    <row r="5" spans="1:14" x14ac:dyDescent="0.25">
      <c r="A5" s="6" t="s">
        <v>47</v>
      </c>
      <c r="B5" s="39">
        <v>100</v>
      </c>
      <c r="H5" s="109" t="s">
        <v>103</v>
      </c>
      <c r="I5" s="109"/>
      <c r="J5" s="109"/>
      <c r="K5" s="96"/>
      <c r="L5" s="29"/>
    </row>
    <row r="6" spans="1:14" x14ac:dyDescent="0.25">
      <c r="B6" s="27" t="s">
        <v>1</v>
      </c>
      <c r="E6" s="106" t="s">
        <v>51</v>
      </c>
      <c r="F6" s="106"/>
      <c r="H6" s="110" t="s">
        <v>186</v>
      </c>
      <c r="I6" s="111"/>
      <c r="J6" s="112"/>
      <c r="K6" s="97"/>
    </row>
    <row r="7" spans="1:14" x14ac:dyDescent="0.25">
      <c r="B7" s="28">
        <v>123</v>
      </c>
      <c r="E7" s="107">
        <f>12*24</f>
        <v>288</v>
      </c>
      <c r="F7" s="107"/>
    </row>
    <row r="8" spans="1:14" x14ac:dyDescent="0.25">
      <c r="B8" s="29"/>
    </row>
    <row r="9" spans="1:14" x14ac:dyDescent="0.25">
      <c r="A9" s="33" t="s">
        <v>101</v>
      </c>
      <c r="B9" s="8" t="s">
        <v>41</v>
      </c>
      <c r="C9" s="9">
        <v>32</v>
      </c>
      <c r="D9" s="31"/>
      <c r="E9" s="33" t="s">
        <v>101</v>
      </c>
      <c r="F9" s="10" t="s">
        <v>42</v>
      </c>
      <c r="G9" s="9">
        <v>64</v>
      </c>
      <c r="H9" s="14"/>
      <c r="N9" s="19"/>
    </row>
    <row r="10" spans="1:14" x14ac:dyDescent="0.25">
      <c r="B10" s="11" t="s">
        <v>43</v>
      </c>
      <c r="C10" s="11" t="s">
        <v>4</v>
      </c>
      <c r="D10" s="32"/>
      <c r="F10" s="12" t="s">
        <v>43</v>
      </c>
      <c r="G10" s="11" t="s">
        <v>4</v>
      </c>
      <c r="H10" s="14"/>
    </row>
    <row r="11" spans="1:14" x14ac:dyDescent="0.25">
      <c r="B11" s="13">
        <f>$B$41+$C$41</f>
        <v>0</v>
      </c>
      <c r="C11" s="13">
        <f>IF(($B$7-$C$12-$C$13)&gt;0,B36,0)</f>
        <v>0</v>
      </c>
      <c r="D11" s="31"/>
      <c r="F11" s="13">
        <f>$F$41+$G$41</f>
        <v>0</v>
      </c>
      <c r="G11" s="13">
        <f>IF(($B$7-$G$12-$G$13)&gt;0,B36,0)</f>
        <v>0</v>
      </c>
    </row>
    <row r="12" spans="1:14" x14ac:dyDescent="0.25">
      <c r="B12" s="13">
        <f>IF($C$12=0,0,1)</f>
        <v>0</v>
      </c>
      <c r="C12" s="13">
        <f>IF((B39+C39)&lt;=B36,0,$C$39-$C$41*$B$36)</f>
        <v>0</v>
      </c>
      <c r="D12" s="31"/>
      <c r="F12" s="13">
        <f>IF($G$12=0,0,1)</f>
        <v>0</v>
      </c>
      <c r="G12" s="13">
        <f>IF((F39+G39)&lt;=B36,0,$G$39-$G$41*$B$36)</f>
        <v>0</v>
      </c>
    </row>
    <row r="13" spans="1:14" x14ac:dyDescent="0.25">
      <c r="B13" s="13">
        <f>IF($C$13&gt;=0,1,0)</f>
        <v>1</v>
      </c>
      <c r="C13" s="13">
        <f>IF((B39+C39)&lt;=B36,B7,$B$39-$B$41*$B$36)</f>
        <v>123</v>
      </c>
      <c r="D13" s="31"/>
      <c r="F13" s="13">
        <f>IF($G$13&gt;0,1,0)</f>
        <v>1</v>
      </c>
      <c r="G13" s="13">
        <f>IF((F39+G39)&lt;=B36,B7,$F$39-$F$41*$B$36)</f>
        <v>123</v>
      </c>
    </row>
    <row r="14" spans="1:14" x14ac:dyDescent="0.25">
      <c r="B14" s="6" t="s">
        <v>49</v>
      </c>
      <c r="C14" s="15">
        <f>$C$11*$B$11+$B$12*$C$12+$B$13*$C$13</f>
        <v>123</v>
      </c>
      <c r="D14" s="17"/>
      <c r="F14" s="6" t="s">
        <v>49</v>
      </c>
      <c r="G14" s="15">
        <f>$G$11*$F$11+$F$12*$G$12+$F$13*$G$13</f>
        <v>123</v>
      </c>
    </row>
    <row r="15" spans="1:14" x14ac:dyDescent="0.25">
      <c r="B15" s="6" t="s">
        <v>52</v>
      </c>
      <c r="C15" s="17">
        <f>SUM(B11:B13)-1</f>
        <v>0</v>
      </c>
      <c r="D15" s="17"/>
      <c r="F15" s="6" t="s">
        <v>52</v>
      </c>
      <c r="G15" s="17">
        <f>SUM(F11:F13)-1</f>
        <v>0</v>
      </c>
      <c r="H15" s="17"/>
    </row>
    <row r="16" spans="1:14" x14ac:dyDescent="0.25">
      <c r="B16" s="6" t="s">
        <v>50</v>
      </c>
      <c r="C16" s="18" t="str">
        <f>IF(C48&gt;G48,"Good","Bad")</f>
        <v>Bad</v>
      </c>
      <c r="D16" s="17"/>
      <c r="F16" s="6" t="s">
        <v>50</v>
      </c>
      <c r="G16" s="18" t="str">
        <f>IF(G48&gt;C48,"Good","Bad")</f>
        <v>Good</v>
      </c>
    </row>
    <row r="17" spans="1:7" x14ac:dyDescent="0.25">
      <c r="B17" s="41"/>
      <c r="C17" s="17"/>
      <c r="D17" s="17"/>
      <c r="E17" s="17"/>
      <c r="F17" s="41"/>
      <c r="G17" s="17"/>
    </row>
    <row r="19" spans="1:7" x14ac:dyDescent="0.25">
      <c r="A19" s="33" t="s">
        <v>102</v>
      </c>
      <c r="B19" s="8" t="s">
        <v>41</v>
      </c>
      <c r="C19" s="9">
        <v>32</v>
      </c>
      <c r="D19" s="31"/>
      <c r="E19" s="33" t="s">
        <v>102</v>
      </c>
      <c r="F19" s="10" t="s">
        <v>42</v>
      </c>
      <c r="G19" s="9">
        <v>64</v>
      </c>
    </row>
    <row r="20" spans="1:7" x14ac:dyDescent="0.25">
      <c r="B20" s="11" t="s">
        <v>43</v>
      </c>
      <c r="C20" s="11" t="s">
        <v>4</v>
      </c>
      <c r="D20" s="32"/>
      <c r="F20" s="12" t="s">
        <v>43</v>
      </c>
      <c r="G20" s="11" t="s">
        <v>4</v>
      </c>
    </row>
    <row r="21" spans="1:7" x14ac:dyDescent="0.25">
      <c r="B21" s="13">
        <f>IF(C21=0,0,1)</f>
        <v>0</v>
      </c>
      <c r="C21" s="13">
        <f>IF(($B$7-$C$22*B22-$C$23)&gt;0,$B$7-$C$22*B22-$C$23,0)</f>
        <v>0</v>
      </c>
      <c r="D21" s="31"/>
      <c r="F21" s="13">
        <f>IF(G21=0,0,1)</f>
        <v>1</v>
      </c>
      <c r="G21" s="13">
        <f>IF(($B$7-$G$22*F22-$G$23)&gt;0,$B$7-$G$22*F22-$G$23,0)</f>
        <v>27</v>
      </c>
    </row>
    <row r="22" spans="1:7" x14ac:dyDescent="0.25">
      <c r="B22" s="13">
        <f>ROUNDDOWN((B7-B23*C23-C22)/B37,0)+1</f>
        <v>1</v>
      </c>
      <c r="C22" s="13">
        <f>IF(C39&gt;=B37,B37,$C$39-$C$42*$B$37)</f>
        <v>93.5</v>
      </c>
      <c r="D22" s="31"/>
      <c r="F22" s="13">
        <f>ROUNDDOWN((B7-F23*G23-G22)/B37,0)+1</f>
        <v>1</v>
      </c>
      <c r="G22" s="13">
        <f>IF(G39&gt;=B37,B37,$G$39-$G$42*$B$37)</f>
        <v>96</v>
      </c>
    </row>
    <row r="23" spans="1:7" x14ac:dyDescent="0.25">
      <c r="B23" s="13">
        <f>IF($C$23&gt;=0,1,0)</f>
        <v>1</v>
      </c>
      <c r="C23" s="13">
        <f>IF((B39+C39)&lt;=B37,B7,$B$39-$B$42*$B$37)</f>
        <v>29.5</v>
      </c>
      <c r="D23" s="31"/>
      <c r="F23" s="13">
        <f>IF($G$13&gt;=0,1,0)</f>
        <v>1</v>
      </c>
      <c r="G23" s="13">
        <f>IF((F39+G39)&lt;=B37,B7,$F$39-$F$42*$B$37)</f>
        <v>0</v>
      </c>
    </row>
    <row r="24" spans="1:7" x14ac:dyDescent="0.25">
      <c r="B24" s="6" t="s">
        <v>49</v>
      </c>
      <c r="C24" s="15">
        <f>$C$21*$B$21+$B$22*$C$22+$B$23*$C$23</f>
        <v>123</v>
      </c>
      <c r="D24" s="17"/>
      <c r="F24" s="6" t="s">
        <v>49</v>
      </c>
      <c r="G24" s="15">
        <f>$G$21*$F$21+$F$22*$G$22+$F$23*$G23</f>
        <v>123</v>
      </c>
    </row>
    <row r="25" spans="1:7" x14ac:dyDescent="0.25">
      <c r="B25" s="6" t="s">
        <v>52</v>
      </c>
      <c r="C25" s="17">
        <f>SUM(B21:B23)-1</f>
        <v>1</v>
      </c>
      <c r="D25" s="17"/>
      <c r="F25" s="6" t="s">
        <v>52</v>
      </c>
      <c r="G25" s="17">
        <f>SUM(F21:F23)-1</f>
        <v>2</v>
      </c>
    </row>
    <row r="26" spans="1:7" x14ac:dyDescent="0.25">
      <c r="B26" s="6" t="s">
        <v>50</v>
      </c>
      <c r="C26" s="18" t="str">
        <f>IF(C57&gt;G57,"Good","Bad")</f>
        <v>Good</v>
      </c>
      <c r="D26" s="17"/>
      <c r="F26" s="6" t="s">
        <v>50</v>
      </c>
      <c r="G26" s="18" t="str">
        <f>IF(G57&gt;=C57,"Good","Bad")</f>
        <v>Bad</v>
      </c>
    </row>
    <row r="36" spans="1:8" x14ac:dyDescent="0.25">
      <c r="A36" s="95" t="s">
        <v>182</v>
      </c>
      <c r="B36" s="4">
        <f>_xlfn.FLOOR.MATH(B4,32)</f>
        <v>192</v>
      </c>
    </row>
    <row r="37" spans="1:8" x14ac:dyDescent="0.25">
      <c r="A37" s="95" t="s">
        <v>183</v>
      </c>
      <c r="B37" s="4">
        <f>_xlfn.FLOOR.MATH(B5,32)</f>
        <v>96</v>
      </c>
    </row>
    <row r="38" spans="1:8" x14ac:dyDescent="0.25">
      <c r="B38" s="11" t="s">
        <v>44</v>
      </c>
      <c r="C38" s="10" t="s">
        <v>45</v>
      </c>
      <c r="D38" s="16"/>
      <c r="E38" s="16"/>
      <c r="F38" s="11" t="s">
        <v>44</v>
      </c>
      <c r="G38" s="11" t="s">
        <v>45</v>
      </c>
    </row>
    <row r="39" spans="1:8" x14ac:dyDescent="0.25">
      <c r="A39" s="6"/>
      <c r="B39" s="29">
        <f>IF(($B$7/2-$C$9)&gt;0,$B$7/2-$C$9,0)</f>
        <v>29.5</v>
      </c>
      <c r="C39" s="29">
        <f>$B$7-$B$39</f>
        <v>93.5</v>
      </c>
      <c r="D39" s="29"/>
      <c r="F39" s="29">
        <f>IF(($B$7/2-$G$9)&gt;=0,$B$7/2-$G$9,0)</f>
        <v>0</v>
      </c>
      <c r="G39" s="4">
        <f>$B$7-$F$39</f>
        <v>123</v>
      </c>
    </row>
    <row r="41" spans="1:8" x14ac:dyDescent="0.25">
      <c r="A41" s="4" t="s">
        <v>48</v>
      </c>
      <c r="B41" s="4">
        <f>ROUNDDOWN($B$39/$B$4,0)</f>
        <v>0</v>
      </c>
      <c r="C41" s="4">
        <f>ROUNDDOWN($C$39/$B$4,0)</f>
        <v>0</v>
      </c>
      <c r="F41" s="4">
        <f>ROUNDDOWN($F$39/$B$4,0)</f>
        <v>0</v>
      </c>
      <c r="G41" s="4">
        <f>ROUNDDOWN($G$39/$B$4,0)</f>
        <v>0</v>
      </c>
    </row>
    <row r="42" spans="1:8" x14ac:dyDescent="0.25">
      <c r="B42" s="4">
        <f>ROUNDDOWN($B$39/$B$5,0)</f>
        <v>0</v>
      </c>
      <c r="C42" s="4">
        <f>ROUNDDOWN($C$39/$B$5,0)</f>
        <v>0</v>
      </c>
      <c r="F42" s="4">
        <f>ROUNDDOWN($F$39/$B$5,0)</f>
        <v>0</v>
      </c>
      <c r="G42" s="4">
        <f>ROUNDDOWN($G$39/$B$5,0)</f>
        <v>1</v>
      </c>
    </row>
    <row r="43" spans="1:8" x14ac:dyDescent="0.25">
      <c r="H43" s="29"/>
    </row>
    <row r="44" spans="1:8" x14ac:dyDescent="0.25">
      <c r="B44" s="6" t="s">
        <v>61</v>
      </c>
      <c r="C44" s="4" t="b">
        <f>$C$12&gt;$G$12</f>
        <v>0</v>
      </c>
      <c r="F44" s="6" t="s">
        <v>57</v>
      </c>
      <c r="G44" s="4" t="b">
        <f>$G$12&gt;$C$12</f>
        <v>0</v>
      </c>
      <c r="H44" s="29"/>
    </row>
    <row r="45" spans="1:8" x14ac:dyDescent="0.25">
      <c r="B45" s="6" t="s">
        <v>62</v>
      </c>
      <c r="C45" s="29" t="b">
        <f>$C$13&gt;$G$13</f>
        <v>0</v>
      </c>
      <c r="D45" s="29"/>
      <c r="E45" s="29"/>
      <c r="F45" s="6" t="s">
        <v>58</v>
      </c>
      <c r="G45" s="29" t="b">
        <f>$G$13&gt;$C$13</f>
        <v>0</v>
      </c>
      <c r="H45" s="29"/>
    </row>
    <row r="46" spans="1:8" x14ac:dyDescent="0.25">
      <c r="B46" s="6" t="s">
        <v>63</v>
      </c>
      <c r="C46" s="29" t="b">
        <f>$C$15&lt;$G$15</f>
        <v>0</v>
      </c>
      <c r="D46" s="29"/>
      <c r="E46" s="29"/>
      <c r="F46" s="6" t="s">
        <v>59</v>
      </c>
      <c r="G46" s="29" t="b">
        <f>$G$15&lt;=$C$15</f>
        <v>1</v>
      </c>
      <c r="H46" s="29"/>
    </row>
    <row r="47" spans="1:8" x14ac:dyDescent="0.25">
      <c r="B47" s="6" t="s">
        <v>64</v>
      </c>
      <c r="C47" s="29" t="b">
        <f>MIN($C$11:$C$13)=0</f>
        <v>1</v>
      </c>
      <c r="D47" s="29"/>
      <c r="E47" s="29"/>
      <c r="F47" s="6" t="s">
        <v>60</v>
      </c>
      <c r="G47" s="29" t="b">
        <f>MIN($G$11:$G$13)=0</f>
        <v>1</v>
      </c>
      <c r="H47" s="29"/>
    </row>
    <row r="48" spans="1:8" x14ac:dyDescent="0.25">
      <c r="B48" s="42" t="s">
        <v>25</v>
      </c>
      <c r="C48" s="7">
        <f>COUNTIF(C44:C47,TRUE)</f>
        <v>1</v>
      </c>
      <c r="D48" s="7"/>
      <c r="E48" s="29"/>
      <c r="F48" s="42" t="s">
        <v>25</v>
      </c>
      <c r="G48" s="7">
        <f>COUNTIF(G44:G47,TRUE)</f>
        <v>2</v>
      </c>
      <c r="H48" s="29"/>
    </row>
    <row r="49" spans="2:8" x14ac:dyDescent="0.25">
      <c r="C49" s="29"/>
      <c r="D49" s="29"/>
      <c r="E49" s="29"/>
      <c r="F49" s="29"/>
      <c r="G49" s="29"/>
      <c r="H49" s="29"/>
    </row>
    <row r="50" spans="2:8" x14ac:dyDescent="0.25">
      <c r="B50" s="6" t="s">
        <v>53</v>
      </c>
      <c r="C50" s="29" t="b">
        <f>MIN($C$21:$C$23)&lt;E4</f>
        <v>1</v>
      </c>
      <c r="D50" s="29"/>
      <c r="E50" s="29"/>
      <c r="F50" s="6" t="s">
        <v>55</v>
      </c>
      <c r="G50" s="29" t="b">
        <f>MIN($G$21:$G$23)&lt;E4</f>
        <v>1</v>
      </c>
      <c r="H50" s="29"/>
    </row>
    <row r="51" spans="2:8" x14ac:dyDescent="0.25">
      <c r="B51" s="6" t="s">
        <v>54</v>
      </c>
      <c r="C51" s="29" t="b">
        <f>$C$25&lt;$G$25</f>
        <v>1</v>
      </c>
      <c r="D51" s="29"/>
      <c r="E51" s="29"/>
      <c r="F51" s="6" t="s">
        <v>56</v>
      </c>
      <c r="G51" s="29" t="b">
        <f>$G$25&lt;=$C$25</f>
        <v>0</v>
      </c>
      <c r="H51" s="29"/>
    </row>
    <row r="52" spans="2:8" x14ac:dyDescent="0.25">
      <c r="B52" s="6" t="s">
        <v>66</v>
      </c>
      <c r="C52" s="29" t="b">
        <f>MIN($C$21:$C$23)&gt;=MIN($G$21:$G$23)</f>
        <v>1</v>
      </c>
      <c r="D52" s="29"/>
      <c r="E52" s="29"/>
      <c r="F52" s="6" t="s">
        <v>65</v>
      </c>
      <c r="G52" s="29" t="b">
        <f>MIN($G$21:$G$23)&gt;MIN($C$21:$C$23)</f>
        <v>0</v>
      </c>
      <c r="H52" s="29"/>
    </row>
    <row r="53" spans="2:8" x14ac:dyDescent="0.25">
      <c r="B53" s="6" t="s">
        <v>174</v>
      </c>
      <c r="C53" s="29" t="b">
        <f>MIN($C$21:$C$23)=0</f>
        <v>1</v>
      </c>
      <c r="D53" s="29"/>
      <c r="E53" s="29"/>
      <c r="F53" s="6" t="s">
        <v>178</v>
      </c>
      <c r="G53" s="29" t="b">
        <f>MIN($G$21:$G$23)=0</f>
        <v>1</v>
      </c>
      <c r="H53" s="29"/>
    </row>
    <row r="54" spans="2:8" x14ac:dyDescent="0.25">
      <c r="B54" s="38" t="s">
        <v>39</v>
      </c>
      <c r="C54" s="29" t="b">
        <f>MIN($C$21:$C$23)=0</f>
        <v>1</v>
      </c>
      <c r="D54" s="29"/>
      <c r="E54" s="29"/>
      <c r="F54" s="38" t="s">
        <v>39</v>
      </c>
      <c r="G54" s="29" t="b">
        <f>MIN($G$21:$G$23)=0</f>
        <v>1</v>
      </c>
      <c r="H54" s="29"/>
    </row>
    <row r="55" spans="2:8" x14ac:dyDescent="0.25">
      <c r="B55" s="6" t="s">
        <v>175</v>
      </c>
      <c r="C55" s="29" t="b">
        <f>$B$21&gt;$F$21</f>
        <v>0</v>
      </c>
      <c r="D55" s="29"/>
      <c r="E55" s="29"/>
      <c r="F55" s="6" t="s">
        <v>177</v>
      </c>
      <c r="G55" s="29" t="b">
        <f>$F$21&gt;$B$21</f>
        <v>1</v>
      </c>
      <c r="H55" s="29"/>
    </row>
    <row r="56" spans="2:8" ht="14.4" customHeight="1" x14ac:dyDescent="0.25">
      <c r="B56" s="6" t="s">
        <v>176</v>
      </c>
      <c r="C56" s="29" t="b">
        <f>_xlfn.CEILING.MATH($C$22+$C$23,1,$B$5)&gt;_xlfn.CEILING.MATH($G$23+$G$22,1,$B$5)</f>
        <v>1</v>
      </c>
      <c r="D56" s="29"/>
      <c r="E56" s="29"/>
      <c r="F56" s="6" t="s">
        <v>179</v>
      </c>
      <c r="G56" s="29" t="b">
        <f>_xlfn.CEILING.MATH($G$22+$G$23)&gt;_xlfn.CEILING.MATH($C$22+$C$23)</f>
        <v>0</v>
      </c>
      <c r="H56" s="29"/>
    </row>
    <row r="57" spans="2:8" x14ac:dyDescent="0.25">
      <c r="B57" s="42" t="s">
        <v>25</v>
      </c>
      <c r="C57" s="7">
        <f>COUNTIF($C$50:$C$56,TRUE)</f>
        <v>6</v>
      </c>
      <c r="D57" s="7"/>
      <c r="E57" s="29"/>
      <c r="F57" s="42" t="s">
        <v>25</v>
      </c>
      <c r="G57" s="7">
        <f>COUNTIF($G$50:$G$56,TRUE)</f>
        <v>4</v>
      </c>
      <c r="H57" s="29"/>
    </row>
    <row r="58" spans="2:8" x14ac:dyDescent="0.25">
      <c r="C58" s="29"/>
      <c r="D58" s="29"/>
      <c r="E58" s="29"/>
      <c r="F58" s="29"/>
      <c r="G58" s="29"/>
      <c r="H58" s="29"/>
    </row>
    <row r="59" spans="2:8" x14ac:dyDescent="0.25">
      <c r="C59" s="29"/>
      <c r="D59" s="29"/>
      <c r="E59" s="29"/>
      <c r="F59" s="29"/>
      <c r="G59" s="29"/>
    </row>
    <row r="60" spans="2:8" x14ac:dyDescent="0.25">
      <c r="C60" s="29"/>
      <c r="D60" s="29"/>
      <c r="E60" s="29"/>
      <c r="F60" s="29"/>
      <c r="G60" s="29"/>
    </row>
  </sheetData>
  <mergeCells count="7">
    <mergeCell ref="A1:J1"/>
    <mergeCell ref="E6:F6"/>
    <mergeCell ref="E7:F7"/>
    <mergeCell ref="H3:J3"/>
    <mergeCell ref="H5:J5"/>
    <mergeCell ref="H4:J4"/>
    <mergeCell ref="H6:J6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82"/>
  <sheetViews>
    <sheetView tabSelected="1" workbookViewId="0">
      <selection activeCell="C5" sqref="C5"/>
    </sheetView>
  </sheetViews>
  <sheetFormatPr defaultRowHeight="13.8" x14ac:dyDescent="0.25"/>
  <cols>
    <col min="1" max="1" width="8.88671875" style="64"/>
    <col min="2" max="2" width="21" style="64" customWidth="1"/>
    <col min="3" max="3" width="9.44140625" style="64" bestFit="1" customWidth="1"/>
    <col min="4" max="4" width="4.77734375" style="64" customWidth="1"/>
    <col min="5" max="5" width="12" style="64" customWidth="1"/>
    <col min="6" max="6" width="16.5546875" style="64" bestFit="1" customWidth="1"/>
    <col min="7" max="7" width="7.109375" style="64" bestFit="1" customWidth="1"/>
    <col min="8" max="8" width="4.21875" style="64" customWidth="1"/>
    <col min="9" max="9" width="8.88671875" style="64"/>
    <col min="10" max="10" width="16.5546875" style="64" bestFit="1" customWidth="1"/>
    <col min="11" max="11" width="7.109375" style="64" bestFit="1" customWidth="1"/>
    <col min="12" max="12" width="3" style="64" bestFit="1" customWidth="1"/>
    <col min="13" max="13" width="8.88671875" style="64"/>
    <col min="14" max="14" width="15.33203125" style="64" bestFit="1" customWidth="1"/>
    <col min="15" max="15" width="43.6640625" style="64" customWidth="1"/>
    <col min="16" max="16384" width="8.88671875" style="64"/>
  </cols>
  <sheetData>
    <row r="1" spans="1:11" ht="22.8" x14ac:dyDescent="0.4">
      <c r="A1" s="114" t="s">
        <v>181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2.8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x14ac:dyDescent="0.25">
      <c r="B3" s="66" t="s">
        <v>0</v>
      </c>
      <c r="E3" s="67"/>
      <c r="F3" s="67"/>
      <c r="H3" s="115" t="s">
        <v>5</v>
      </c>
      <c r="I3" s="115"/>
      <c r="J3" s="115"/>
      <c r="K3" s="115"/>
    </row>
    <row r="4" spans="1:11" x14ac:dyDescent="0.25">
      <c r="B4" s="39">
        <v>144</v>
      </c>
      <c r="D4" s="67" t="s">
        <v>158</v>
      </c>
      <c r="E4" s="68"/>
      <c r="F4" s="69">
        <v>18</v>
      </c>
      <c r="H4" s="113" t="str">
        <f>'Lower Ass.'!H4:K4</f>
        <v>BAR</v>
      </c>
      <c r="I4" s="113"/>
      <c r="J4" s="113"/>
      <c r="K4" s="113"/>
    </row>
    <row r="5" spans="1:11" ht="14.4" customHeight="1" x14ac:dyDescent="0.25">
      <c r="B5" s="64" t="s">
        <v>1</v>
      </c>
      <c r="D5" s="116" t="s">
        <v>157</v>
      </c>
      <c r="E5" s="117"/>
      <c r="F5" s="69">
        <v>6</v>
      </c>
      <c r="H5" s="115" t="s">
        <v>103</v>
      </c>
      <c r="I5" s="115"/>
      <c r="J5" s="115"/>
      <c r="K5" s="115"/>
    </row>
    <row r="6" spans="1:11" x14ac:dyDescent="0.25">
      <c r="B6" s="39">
        <v>366.5</v>
      </c>
      <c r="E6" s="70"/>
      <c r="H6" s="113" t="str">
        <f>'Lower Ass.'!H6:K6</f>
        <v>B101289</v>
      </c>
      <c r="I6" s="113"/>
      <c r="J6" s="113"/>
      <c r="K6" s="113"/>
    </row>
    <row r="7" spans="1:11" x14ac:dyDescent="0.25">
      <c r="B7" s="71"/>
    </row>
    <row r="8" spans="1:11" x14ac:dyDescent="0.25">
      <c r="B8" s="72" t="s">
        <v>3</v>
      </c>
      <c r="C8" s="73">
        <v>0</v>
      </c>
      <c r="D8" s="74"/>
      <c r="E8" s="67"/>
      <c r="F8" s="72" t="s">
        <v>3</v>
      </c>
      <c r="G8" s="73">
        <v>28</v>
      </c>
      <c r="H8" s="74"/>
      <c r="I8" s="67"/>
      <c r="J8" s="72" t="s">
        <v>3</v>
      </c>
      <c r="K8" s="73">
        <f>2*G8</f>
        <v>56</v>
      </c>
    </row>
    <row r="9" spans="1:11" x14ac:dyDescent="0.25">
      <c r="B9" s="75" t="s">
        <v>9</v>
      </c>
      <c r="C9" s="76" t="s">
        <v>4</v>
      </c>
      <c r="D9" s="77"/>
      <c r="F9" s="75" t="s">
        <v>9</v>
      </c>
      <c r="G9" s="76" t="s">
        <v>4</v>
      </c>
      <c r="H9" s="77"/>
      <c r="J9" s="75" t="s">
        <v>9</v>
      </c>
      <c r="K9" s="76" t="s">
        <v>4</v>
      </c>
    </row>
    <row r="10" spans="1:11" x14ac:dyDescent="0.25">
      <c r="B10" s="75">
        <f>IF(C10&lt;=0,0,1)</f>
        <v>0</v>
      </c>
      <c r="C10" s="78">
        <f>IF((B6-B11*C11-B12*C12)&lt;B4,(B6-B11*C11-B12*C12),0)</f>
        <v>0</v>
      </c>
      <c r="D10" s="77"/>
      <c r="F10" s="75">
        <f>IF(G10&lt;=0,0,1)</f>
        <v>1</v>
      </c>
      <c r="G10" s="78">
        <f>IF((B6-F11*G11-G12)&gt;0,(B6-F11*G11-G12),0)</f>
        <v>50.5</v>
      </c>
      <c r="H10" s="77"/>
      <c r="J10" s="75">
        <f>IF(K10&lt;=0,0,1)</f>
        <v>1</v>
      </c>
      <c r="K10" s="78">
        <f>IF((B6-J11*K11-K12)&gt;0,(B6-J11*K11-K12),0)</f>
        <v>22.5</v>
      </c>
    </row>
    <row r="11" spans="1:11" x14ac:dyDescent="0.25">
      <c r="B11" s="75">
        <f>IF(C11&lt;&gt;0,1,ROUNDDOWN((B6-C12)/B4,0))</f>
        <v>1</v>
      </c>
      <c r="C11" s="78">
        <f>IF((B6-C12*B12)&gt;B4,B4,B6-B12*C12)</f>
        <v>78.5</v>
      </c>
      <c r="F11" s="75">
        <f>IF(((B6-G12)/B4)&lt;1,1,ROUNDDOWN((B6-G12)/B4,0))</f>
        <v>2</v>
      </c>
      <c r="G11" s="78">
        <f>IF((B6-F12*G12)&gt;B4,B4,B6-G12)</f>
        <v>144</v>
      </c>
      <c r="J11" s="75">
        <f>IF(((B6-K12)/B4)&lt;1,1,ROUNDDOWN((B6-K12)/B4,0))</f>
        <v>2</v>
      </c>
      <c r="K11" s="78">
        <f>IF((B6-K12)&gt;B4,B4,B6-K12)</f>
        <v>144</v>
      </c>
    </row>
    <row r="12" spans="1:11" x14ac:dyDescent="0.25">
      <c r="B12" s="75">
        <f>IF(((B6)/B4)&lt;1,1,ROUNDDOWN((B6)/B4,0))</f>
        <v>2</v>
      </c>
      <c r="C12" s="78">
        <f>IF(B6&lt;=B4,B6,B4)</f>
        <v>144</v>
      </c>
      <c r="D12" s="77"/>
      <c r="F12" s="75">
        <f>IF(G12=0,0,1)</f>
        <v>1</v>
      </c>
      <c r="G12" s="78">
        <f>IF(B6&lt;=G8,B6,G8)</f>
        <v>28</v>
      </c>
      <c r="H12" s="77"/>
      <c r="J12" s="75">
        <f>IF(K12=0,0,1)</f>
        <v>1</v>
      </c>
      <c r="K12" s="78">
        <f>IF(B6&lt;=K8,B6,K8)</f>
        <v>56</v>
      </c>
    </row>
    <row r="13" spans="1:11" x14ac:dyDescent="0.25">
      <c r="A13" s="79" t="s">
        <v>2</v>
      </c>
      <c r="B13" s="80">
        <f>SUM(B10:B12)-1</f>
        <v>2</v>
      </c>
      <c r="E13" s="79" t="s">
        <v>2</v>
      </c>
      <c r="F13" s="80">
        <f>SUM(F10:F12)-1</f>
        <v>3</v>
      </c>
      <c r="I13" s="79" t="s">
        <v>2</v>
      </c>
      <c r="J13" s="80">
        <f>SUM(J10:J12)-1</f>
        <v>3</v>
      </c>
    </row>
    <row r="14" spans="1:11" x14ac:dyDescent="0.25">
      <c r="B14" s="70" t="s">
        <v>7</v>
      </c>
      <c r="C14" s="81">
        <f>C11*B11+C12*B12+C10*B10</f>
        <v>366.5</v>
      </c>
      <c r="D14" s="81"/>
      <c r="F14" s="70" t="s">
        <v>7</v>
      </c>
      <c r="G14" s="81">
        <f>F11*G11+G12*F12+G10*F10</f>
        <v>366.5</v>
      </c>
      <c r="H14" s="81"/>
      <c r="J14" s="70" t="s">
        <v>7</v>
      </c>
      <c r="K14" s="81">
        <f>J11*K11+K12*J12+K10*J10</f>
        <v>366.5</v>
      </c>
    </row>
    <row r="15" spans="1:11" x14ac:dyDescent="0.25">
      <c r="B15" s="70" t="s">
        <v>8</v>
      </c>
      <c r="C15" s="74">
        <f>IF(C10=0,ABS(C11-C12),ABS(C10-C12))</f>
        <v>65.5</v>
      </c>
      <c r="F15" s="64" t="s">
        <v>8</v>
      </c>
      <c r="G15" s="74">
        <f>IF(G10=0,ABS(G11-G12),ABS(G10-G12))</f>
        <v>22.5</v>
      </c>
      <c r="J15" s="70" t="s">
        <v>8</v>
      </c>
      <c r="K15" s="81">
        <f>IF(K10=0,ABS(K11-K12),ABS(K10-K12))</f>
        <v>33.5</v>
      </c>
    </row>
    <row r="16" spans="1:11" x14ac:dyDescent="0.25">
      <c r="C16" s="74"/>
      <c r="G16" s="74"/>
      <c r="K16" s="81"/>
    </row>
    <row r="17" spans="2:12" x14ac:dyDescent="0.25">
      <c r="B17" s="70" t="s">
        <v>6</v>
      </c>
      <c r="C17" s="82" t="str">
        <f>IF(AND(C82&gt;G82,C82&gt;K82),"Good","Bad")</f>
        <v>Good</v>
      </c>
      <c r="F17" s="70" t="s">
        <v>6</v>
      </c>
      <c r="G17" s="82" t="str">
        <f>IF(AND(G82&gt;C82,G82&gt;K82),"Good","Bad")</f>
        <v>Bad</v>
      </c>
      <c r="J17" s="70" t="s">
        <v>6</v>
      </c>
      <c r="K17" s="82" t="str">
        <f>IF(AND(K82&gt;G82,K82&gt;C82),"Good","Bad")</f>
        <v>Bad</v>
      </c>
    </row>
    <row r="18" spans="2:12" x14ac:dyDescent="0.25">
      <c r="B18" s="83"/>
      <c r="C18" s="84"/>
      <c r="D18" s="84"/>
      <c r="E18" s="84"/>
      <c r="F18" s="83"/>
      <c r="G18" s="84"/>
      <c r="H18" s="84"/>
      <c r="I18" s="84"/>
      <c r="J18" s="83"/>
      <c r="K18" s="84"/>
      <c r="L18" s="84"/>
    </row>
    <row r="19" spans="2:12" x14ac:dyDescent="0.25">
      <c r="B19" s="83"/>
      <c r="C19" s="84"/>
      <c r="D19" s="84"/>
      <c r="E19" s="84"/>
      <c r="F19" s="83"/>
      <c r="G19" s="84"/>
      <c r="H19" s="84"/>
      <c r="I19" s="84"/>
      <c r="J19" s="83"/>
      <c r="K19" s="84"/>
      <c r="L19" s="84"/>
    </row>
    <row r="20" spans="2:12" x14ac:dyDescent="0.25">
      <c r="B20" s="83"/>
      <c r="C20" s="84"/>
      <c r="D20" s="84"/>
      <c r="E20" s="84"/>
      <c r="F20" s="83"/>
      <c r="G20" s="84"/>
      <c r="H20" s="84"/>
      <c r="I20" s="84"/>
      <c r="J20" s="83"/>
      <c r="K20" s="84"/>
      <c r="L20" s="84"/>
    </row>
    <row r="21" spans="2:12" x14ac:dyDescent="0.25">
      <c r="B21" s="85" t="s">
        <v>25</v>
      </c>
      <c r="C21" s="86">
        <f>COUNTIF($C$41:$C$80,TRUE)</f>
        <v>37</v>
      </c>
      <c r="F21" s="85" t="s">
        <v>25</v>
      </c>
      <c r="G21" s="86">
        <f>COUNTIF($G$41:$G$80,TRUE)</f>
        <v>30</v>
      </c>
      <c r="J21" s="85" t="s">
        <v>25</v>
      </c>
      <c r="K21" s="86">
        <f>COUNTIF($K$41:$K$80,TRUE)</f>
        <v>33</v>
      </c>
    </row>
    <row r="22" spans="2:12" x14ac:dyDescent="0.25">
      <c r="B22" s="83"/>
      <c r="C22" s="84"/>
      <c r="D22" s="84"/>
      <c r="E22" s="84"/>
      <c r="F22" s="83"/>
      <c r="G22" s="84"/>
      <c r="H22" s="84"/>
      <c r="I22" s="84"/>
      <c r="J22" s="83"/>
      <c r="K22" s="84"/>
      <c r="L22" s="84"/>
    </row>
    <row r="23" spans="2:12" x14ac:dyDescent="0.25">
      <c r="B23" s="83"/>
      <c r="C23" s="84"/>
      <c r="D23" s="84"/>
      <c r="E23" s="84"/>
      <c r="F23" s="83"/>
      <c r="G23" s="84"/>
      <c r="H23" s="84"/>
      <c r="I23" s="84"/>
      <c r="J23" s="83"/>
      <c r="K23" s="84"/>
      <c r="L23" s="84"/>
    </row>
    <row r="24" spans="2:12" x14ac:dyDescent="0.25">
      <c r="B24" s="83"/>
      <c r="C24" s="84"/>
      <c r="D24" s="84"/>
      <c r="E24" s="84"/>
      <c r="F24" s="83"/>
      <c r="G24" s="84"/>
      <c r="H24" s="84"/>
      <c r="I24" s="84"/>
      <c r="J24" s="83"/>
      <c r="K24" s="84"/>
      <c r="L24" s="84"/>
    </row>
    <row r="25" spans="2:12" x14ac:dyDescent="0.25">
      <c r="B25" s="83"/>
      <c r="C25" s="84"/>
      <c r="D25" s="84"/>
      <c r="E25" s="84"/>
      <c r="F25" s="83"/>
      <c r="G25" s="84"/>
      <c r="H25" s="84"/>
      <c r="I25" s="84"/>
      <c r="J25" s="83"/>
      <c r="K25" s="84"/>
      <c r="L25" s="84"/>
    </row>
    <row r="26" spans="2:12" x14ac:dyDescent="0.25">
      <c r="B26" s="83"/>
      <c r="C26" s="84"/>
      <c r="D26" s="84"/>
      <c r="E26" s="84"/>
      <c r="F26" s="83"/>
      <c r="G26" s="84"/>
      <c r="H26" s="84"/>
      <c r="I26" s="84"/>
      <c r="J26" s="83"/>
      <c r="K26" s="84"/>
      <c r="L26" s="84"/>
    </row>
    <row r="27" spans="2:12" x14ac:dyDescent="0.25">
      <c r="B27" s="83"/>
      <c r="C27" s="84"/>
      <c r="D27" s="84"/>
      <c r="E27" s="84"/>
      <c r="F27" s="83"/>
      <c r="G27" s="84"/>
      <c r="H27" s="84"/>
      <c r="I27" s="84"/>
      <c r="J27" s="83"/>
      <c r="K27" s="84"/>
      <c r="L27" s="84"/>
    </row>
    <row r="28" spans="2:12" x14ac:dyDescent="0.25">
      <c r="B28" s="83"/>
      <c r="C28" s="84"/>
      <c r="D28" s="84"/>
      <c r="E28" s="84"/>
      <c r="F28" s="83"/>
      <c r="G28" s="84"/>
      <c r="H28" s="84"/>
      <c r="I28" s="84"/>
      <c r="J28" s="83"/>
      <c r="K28" s="84"/>
      <c r="L28" s="84"/>
    </row>
    <row r="29" spans="2:12" x14ac:dyDescent="0.25">
      <c r="B29" s="83"/>
      <c r="C29" s="84"/>
      <c r="D29" s="84"/>
      <c r="E29" s="84"/>
      <c r="F29" s="83"/>
      <c r="G29" s="84"/>
      <c r="H29" s="84"/>
      <c r="I29" s="84"/>
      <c r="J29" s="83"/>
      <c r="K29" s="84"/>
      <c r="L29" s="84"/>
    </row>
    <row r="30" spans="2:12" x14ac:dyDescent="0.25">
      <c r="B30" s="83"/>
      <c r="C30" s="84"/>
      <c r="D30" s="84"/>
      <c r="E30" s="84"/>
      <c r="F30" s="83"/>
      <c r="G30" s="84"/>
      <c r="H30" s="84"/>
      <c r="I30" s="84"/>
      <c r="J30" s="83"/>
      <c r="K30" s="84"/>
      <c r="L30" s="84"/>
    </row>
    <row r="31" spans="2:12" x14ac:dyDescent="0.25">
      <c r="B31" s="83"/>
      <c r="C31" s="84"/>
      <c r="D31" s="84"/>
      <c r="E31" s="84"/>
      <c r="F31" s="83"/>
      <c r="G31" s="84"/>
      <c r="H31" s="84"/>
      <c r="I31" s="84"/>
      <c r="J31" s="83"/>
      <c r="K31" s="84"/>
      <c r="L31" s="84"/>
    </row>
    <row r="32" spans="2:12" x14ac:dyDescent="0.25">
      <c r="B32" s="83"/>
      <c r="C32" s="84"/>
      <c r="D32" s="84"/>
      <c r="E32" s="84"/>
      <c r="F32" s="83"/>
      <c r="G32" s="84"/>
      <c r="H32" s="84"/>
      <c r="I32" s="84"/>
      <c r="J32" s="83"/>
      <c r="K32" s="84"/>
      <c r="L32" s="84"/>
    </row>
    <row r="33" spans="2:15" x14ac:dyDescent="0.25">
      <c r="B33" s="83"/>
      <c r="C33" s="84"/>
      <c r="D33" s="84"/>
      <c r="E33" s="84"/>
      <c r="F33" s="83"/>
      <c r="G33" s="84"/>
      <c r="H33" s="84"/>
      <c r="I33" s="84"/>
      <c r="J33" s="83"/>
      <c r="K33" s="84"/>
      <c r="L33" s="84"/>
    </row>
    <row r="34" spans="2:15" x14ac:dyDescent="0.25">
      <c r="B34" s="83"/>
      <c r="C34" s="84"/>
      <c r="D34" s="84"/>
      <c r="E34" s="84"/>
      <c r="F34" s="83"/>
      <c r="G34" s="84"/>
      <c r="H34" s="84"/>
      <c r="I34" s="84"/>
      <c r="J34" s="83"/>
      <c r="K34" s="84"/>
      <c r="L34" s="84"/>
    </row>
    <row r="35" spans="2:15" x14ac:dyDescent="0.25">
      <c r="B35" s="83"/>
      <c r="C35" s="84"/>
      <c r="D35" s="84"/>
      <c r="E35" s="84"/>
      <c r="F35" s="83"/>
      <c r="G35" s="84"/>
      <c r="H35" s="84"/>
      <c r="I35" s="84"/>
      <c r="J35" s="83"/>
      <c r="K35" s="84"/>
      <c r="L35" s="84"/>
    </row>
    <row r="36" spans="2:15" x14ac:dyDescent="0.25">
      <c r="B36" s="70"/>
      <c r="C36" s="84"/>
      <c r="F36" s="70"/>
      <c r="G36" s="84"/>
      <c r="J36" s="70"/>
      <c r="K36" s="84"/>
    </row>
    <row r="37" spans="2:15" x14ac:dyDescent="0.25">
      <c r="B37" s="70"/>
      <c r="C37" s="84"/>
      <c r="F37" s="70"/>
      <c r="G37" s="84"/>
      <c r="J37" s="70"/>
      <c r="K37" s="84"/>
    </row>
    <row r="38" spans="2:15" x14ac:dyDescent="0.25">
      <c r="B38" s="70"/>
      <c r="C38" s="84"/>
      <c r="F38" s="70"/>
      <c r="G38" s="84"/>
      <c r="J38" s="70"/>
      <c r="K38" s="84"/>
    </row>
    <row r="39" spans="2:15" x14ac:dyDescent="0.25">
      <c r="B39" s="87"/>
      <c r="C39" s="84"/>
      <c r="F39" s="87"/>
      <c r="G39" s="84"/>
      <c r="J39" s="87"/>
      <c r="K39" s="84"/>
    </row>
    <row r="40" spans="2:15" x14ac:dyDescent="0.25">
      <c r="B40" s="87"/>
      <c r="C40" s="84"/>
      <c r="F40" s="87"/>
      <c r="G40" s="84"/>
      <c r="J40" s="87"/>
      <c r="K40" s="84"/>
    </row>
    <row r="41" spans="2:15" x14ac:dyDescent="0.25">
      <c r="B41" s="87" t="s">
        <v>121</v>
      </c>
      <c r="C41" s="88" t="b">
        <f>IF(_xlfn.XOR($C$10&gt;24-$F$5,$C$10&gt;24+$F$5,),FALSE,TRUE)</f>
        <v>1</v>
      </c>
      <c r="F41" s="87" t="s">
        <v>133</v>
      </c>
      <c r="G41" s="88" t="b">
        <f>IF(_xlfn.XOR($G$10&gt;24-$F$5,$G$10&gt;24+$F$5,),FALSE,TRUE)</f>
        <v>1</v>
      </c>
      <c r="J41" s="87" t="s">
        <v>145</v>
      </c>
      <c r="K41" s="88" t="b">
        <f>IF(_xlfn.XOR($K$10&gt;24-$F$5,$K$10&gt;24+$F$5,),FALSE,TRUE)</f>
        <v>0</v>
      </c>
      <c r="O41" s="89"/>
    </row>
    <row r="42" spans="2:15" x14ac:dyDescent="0.25">
      <c r="B42" s="87" t="s">
        <v>39</v>
      </c>
      <c r="C42" s="88" t="b">
        <f>IF(_xlfn.XOR($C$10&gt;24-$F$5,$C$10&gt;24+$F$5,),FALSE,TRUE)</f>
        <v>1</v>
      </c>
      <c r="F42" s="87" t="s">
        <v>39</v>
      </c>
      <c r="G42" s="88" t="b">
        <f>IF(_xlfn.XOR($G$10&gt;24-$F$5,$G$10&gt;24+$F$5,),FALSE,TRUE)</f>
        <v>1</v>
      </c>
      <c r="J42" s="87" t="s">
        <v>39</v>
      </c>
      <c r="K42" s="88" t="b">
        <f>IF(_xlfn.XOR($K$10&gt;24-$F$5,$K$10&gt;24+$F$5,),FALSE,TRUE)</f>
        <v>0</v>
      </c>
      <c r="O42" s="89"/>
    </row>
    <row r="43" spans="2:15" x14ac:dyDescent="0.25">
      <c r="B43" s="87" t="s">
        <v>122</v>
      </c>
      <c r="C43" s="84" t="b">
        <f>IF(_xlfn.XOR($C$10&gt;48-$F$5,$C$10&gt;48+$F$5,),FALSE,TRUE)</f>
        <v>1</v>
      </c>
      <c r="F43" s="87" t="s">
        <v>134</v>
      </c>
      <c r="G43" s="84" t="b">
        <f>IF(_xlfn.XOR($G$10&gt;48-$F$5,$G$10&gt;48+$F$5,),FALSE,TRUE)</f>
        <v>0</v>
      </c>
      <c r="J43" s="87" t="s">
        <v>146</v>
      </c>
      <c r="K43" s="84" t="b">
        <f>IF(_xlfn.XOR($K$10&gt;48-$F$5,$K$10&gt;48+$F$5,),FALSE,TRUE)</f>
        <v>1</v>
      </c>
    </row>
    <row r="44" spans="2:15" x14ac:dyDescent="0.25">
      <c r="B44" s="87" t="s">
        <v>39</v>
      </c>
      <c r="C44" s="84" t="b">
        <f>IF(_xlfn.XOR($C$10&gt;48-$F$5,$C$10&gt;48+$F$5,),FALSE,TRUE)</f>
        <v>1</v>
      </c>
      <c r="F44" s="87" t="s">
        <v>39</v>
      </c>
      <c r="G44" s="84" t="b">
        <f>IF(_xlfn.XOR($G$10&gt;48-$F$5,$G$10&gt;48+$F$5,),FALSE,TRUE)</f>
        <v>0</v>
      </c>
      <c r="J44" s="87" t="s">
        <v>39</v>
      </c>
      <c r="K44" s="84" t="b">
        <f>IF(_xlfn.XOR($K$10&gt;48-$F$5,$K$10&gt;48+$F$5,),FALSE,TRUE)</f>
        <v>1</v>
      </c>
    </row>
    <row r="45" spans="2:15" x14ac:dyDescent="0.25">
      <c r="B45" s="87" t="s">
        <v>123</v>
      </c>
      <c r="C45" s="84" t="b">
        <f>IF(_xlfn.XOR($C$10&gt;72-$F$5,$C$10&gt;72+$F$5,),FALSE,TRUE)</f>
        <v>1</v>
      </c>
      <c r="F45" s="87" t="s">
        <v>135</v>
      </c>
      <c r="G45" s="84" t="b">
        <f>IF(_xlfn.XOR($G$10&gt;72-$F$5,$G$10&gt;72+$F$5,),FALSE,TRUE)</f>
        <v>1</v>
      </c>
      <c r="J45" s="87" t="s">
        <v>147</v>
      </c>
      <c r="K45" s="84" t="b">
        <f>IF(_xlfn.XOR($K$10&gt;72-$F$5,$K$10&gt;72+$F$5,),FALSE,TRUE)</f>
        <v>1</v>
      </c>
    </row>
    <row r="46" spans="2:15" x14ac:dyDescent="0.25">
      <c r="B46" s="87" t="s">
        <v>39</v>
      </c>
      <c r="C46" s="84" t="b">
        <f>IF(_xlfn.XOR($C$10&gt;72-$F$5,$C$10&gt;72+$F$5,),FALSE,TRUE)</f>
        <v>1</v>
      </c>
      <c r="F46" s="87" t="s">
        <v>39</v>
      </c>
      <c r="G46" s="84" t="b">
        <f>IF(_xlfn.XOR($G$10&gt;72-$F$5,$G$10&gt;72+$F$5,),FALSE,TRUE)</f>
        <v>1</v>
      </c>
      <c r="J46" s="87" t="s">
        <v>39</v>
      </c>
      <c r="K46" s="84" t="b">
        <f>IF(_xlfn.XOR($K$10&gt;72-$F$5,$K$10&gt;72+$F$5,),FALSE,TRUE)</f>
        <v>1</v>
      </c>
    </row>
    <row r="47" spans="2:15" x14ac:dyDescent="0.25">
      <c r="B47" s="87" t="s">
        <v>124</v>
      </c>
      <c r="C47" s="84" t="b">
        <f>IF(_xlfn.XOR($C$10&gt;96-$F$5,$C$10&gt;96+$F$5,),FALSE,TRUE)</f>
        <v>1</v>
      </c>
      <c r="F47" s="87" t="s">
        <v>136</v>
      </c>
      <c r="G47" s="84" t="b">
        <f>IF(_xlfn.XOR($G$10&gt;96-$F$5,$G$10&gt;96+$F$5,),FALSE,TRUE)</f>
        <v>1</v>
      </c>
      <c r="J47" s="87" t="s">
        <v>148</v>
      </c>
      <c r="K47" s="84" t="b">
        <f>IF(_xlfn.XOR($K$10&gt;96-$F$5,$K$10&gt;96+$F$5,),FALSE,TRUE)</f>
        <v>1</v>
      </c>
    </row>
    <row r="48" spans="2:15" x14ac:dyDescent="0.25">
      <c r="B48" s="87" t="s">
        <v>39</v>
      </c>
      <c r="C48" s="84" t="b">
        <f>IF(_xlfn.XOR($C$10&gt;96-$F$5,$C$10&gt;96+$F$5,),FALSE,TRUE)</f>
        <v>1</v>
      </c>
      <c r="F48" s="87" t="s">
        <v>39</v>
      </c>
      <c r="G48" s="84" t="b">
        <f>IF(_xlfn.XOR($G$10&gt;96-$F$5,$G$10&gt;96+$F$5,),FALSE,TRUE)</f>
        <v>1</v>
      </c>
      <c r="J48" s="87" t="s">
        <v>39</v>
      </c>
      <c r="K48" s="84" t="b">
        <f>IF(_xlfn.XOR($K$10&gt;96-$F$5,$K$10&gt;96+$F$5,),FALSE,TRUE)</f>
        <v>1</v>
      </c>
    </row>
    <row r="49" spans="2:11" x14ac:dyDescent="0.25">
      <c r="B49" s="87" t="s">
        <v>125</v>
      </c>
      <c r="C49" s="84" t="b">
        <f>IF(_xlfn.XOR($C$11&gt;24-$F$5,$C$11&gt;24+$F$5,),FALSE,TRUE)</f>
        <v>1</v>
      </c>
      <c r="F49" s="87" t="s">
        <v>137</v>
      </c>
      <c r="G49" s="84" t="b">
        <f>IF(_xlfn.XOR($G$11&gt;24-$F$5,$G$11&gt;24+$F$5,),FALSE,TRUE)</f>
        <v>1</v>
      </c>
      <c r="J49" s="87" t="s">
        <v>149</v>
      </c>
      <c r="K49" s="84" t="b">
        <f>IF(_xlfn.XOR($K$11&gt;24-$F$5,$K$11&gt;24+$F$5,),FALSE,TRUE)</f>
        <v>1</v>
      </c>
    </row>
    <row r="50" spans="2:11" x14ac:dyDescent="0.25">
      <c r="B50" s="87" t="s">
        <v>39</v>
      </c>
      <c r="C50" s="84" t="b">
        <f>IF(_xlfn.XOR($C$11&gt;24-$F$5,$C$11&gt;24+$F$5,),FALSE,TRUE)</f>
        <v>1</v>
      </c>
      <c r="F50" s="87" t="s">
        <v>39</v>
      </c>
      <c r="G50" s="84" t="b">
        <f>IF(_xlfn.XOR($G$11&gt;24-$F$5,$G$11&gt;24+$F$5,),FALSE,TRUE)</f>
        <v>1</v>
      </c>
      <c r="J50" s="87" t="s">
        <v>39</v>
      </c>
      <c r="K50" s="84" t="b">
        <f>IF(_xlfn.XOR($K$11&gt;24-$F$5,$K$11&gt;24+$F$5,),FALSE,TRUE)</f>
        <v>1</v>
      </c>
    </row>
    <row r="51" spans="2:11" x14ac:dyDescent="0.25">
      <c r="B51" s="87" t="s">
        <v>126</v>
      </c>
      <c r="C51" s="84" t="b">
        <f>IF(_xlfn.XOR($C$11&gt;48-$F$5,$C$11&gt;48+$F$5,),FALSE,TRUE)</f>
        <v>1</v>
      </c>
      <c r="F51" s="87" t="s">
        <v>138</v>
      </c>
      <c r="G51" s="84" t="b">
        <f>IF(_xlfn.XOR($G$11&gt;48-$F$5,$G$11&gt;48+$F$5,),FALSE,TRUE)</f>
        <v>1</v>
      </c>
      <c r="J51" s="87" t="s">
        <v>150</v>
      </c>
      <c r="K51" s="84" t="b">
        <f>IF(_xlfn.XOR($K$11&gt;48-$F$5,$K$11&gt;48+$F$5,),FALSE,TRUE)</f>
        <v>1</v>
      </c>
    </row>
    <row r="52" spans="2:11" x14ac:dyDescent="0.25">
      <c r="B52" s="87" t="s">
        <v>39</v>
      </c>
      <c r="C52" s="84" t="b">
        <f>IF(_xlfn.XOR($C$11&gt;48-$F$5,$C$11&gt;48+$F$5,),FALSE,TRUE)</f>
        <v>1</v>
      </c>
      <c r="F52" s="87" t="s">
        <v>39</v>
      </c>
      <c r="G52" s="84" t="b">
        <f>IF(_xlfn.XOR($G$11&gt;48-$F$5,$G$11&gt;48+$F$5,),FALSE,TRUE)</f>
        <v>1</v>
      </c>
      <c r="J52" s="87" t="s">
        <v>39</v>
      </c>
      <c r="K52" s="84" t="b">
        <f>IF(_xlfn.XOR($K$11&gt;48-$F$5,$K$11&gt;48+$F$5,),FALSE,TRUE)</f>
        <v>1</v>
      </c>
    </row>
    <row r="53" spans="2:11" x14ac:dyDescent="0.25">
      <c r="B53" s="87" t="s">
        <v>127</v>
      </c>
      <c r="C53" s="84" t="b">
        <f>IF(_xlfn.XOR($C$11&gt;72-$F$5,$C$11&gt;72+$F$5,),FALSE,TRUE)</f>
        <v>1</v>
      </c>
      <c r="F53" s="87" t="s">
        <v>139</v>
      </c>
      <c r="G53" s="84" t="b">
        <f>IF(_xlfn.XOR($G$11&gt;72-$F$5,$G$11&gt;72+$F$5,),FALSE,TRUE)</f>
        <v>1</v>
      </c>
      <c r="J53" s="87" t="s">
        <v>151</v>
      </c>
      <c r="K53" s="84" t="b">
        <f>IF(_xlfn.XOR($K$11&gt;72-$F$5,$K$11&gt;72+$F$5,),FALSE,TRUE)</f>
        <v>1</v>
      </c>
    </row>
    <row r="54" spans="2:11" x14ac:dyDescent="0.25">
      <c r="B54" s="87" t="s">
        <v>39</v>
      </c>
      <c r="C54" s="84" t="b">
        <f>IF(_xlfn.XOR($C$11&gt;72-$F$5,$C$11&gt;72+$F$5,),FALSE,TRUE)</f>
        <v>1</v>
      </c>
      <c r="F54" s="87" t="s">
        <v>39</v>
      </c>
      <c r="G54" s="84" t="b">
        <f>IF(_xlfn.XOR($G$11&gt;72-$F$5,$G$11&gt;72+$F$5,),FALSE,TRUE)</f>
        <v>1</v>
      </c>
      <c r="J54" s="87" t="s">
        <v>39</v>
      </c>
      <c r="K54" s="84" t="b">
        <f>IF(_xlfn.XOR($K$11&gt;72-$F$5,$K$11&gt;72+$F$5,),FALSE,TRUE)</f>
        <v>1</v>
      </c>
    </row>
    <row r="55" spans="2:11" x14ac:dyDescent="0.25">
      <c r="B55" s="87" t="s">
        <v>128</v>
      </c>
      <c r="C55" s="84" t="b">
        <f>IF(_xlfn.XOR($C$11&gt;96-$F$5,$C$11&gt;96+$F$5,),FALSE,TRUE)</f>
        <v>1</v>
      </c>
      <c r="F55" s="87" t="s">
        <v>140</v>
      </c>
      <c r="G55" s="84" t="b">
        <f>IF(_xlfn.XOR($G$11&gt;96-$F$5,$G$11&gt;96+$F$5,),FALSE,TRUE)</f>
        <v>1</v>
      </c>
      <c r="J55" s="87" t="s">
        <v>152</v>
      </c>
      <c r="K55" s="84" t="b">
        <f>IF(_xlfn.XOR($K$11&gt;96-$F$5,$K$11&gt;96+$F$5,),FALSE,TRUE)</f>
        <v>1</v>
      </c>
    </row>
    <row r="56" spans="2:11" x14ac:dyDescent="0.25">
      <c r="B56" s="87" t="s">
        <v>39</v>
      </c>
      <c r="C56" s="84" t="b">
        <f>IF(_xlfn.XOR($C$11&gt;96-$F$5,$C$11&gt;96+$F$5,),FALSE,TRUE)</f>
        <v>1</v>
      </c>
      <c r="F56" s="87" t="s">
        <v>39</v>
      </c>
      <c r="G56" s="84" t="b">
        <f>IF(_xlfn.XOR($G$11&gt;96-$F$5,$G$11&gt;96+$F$5,),FALSE,TRUE)</f>
        <v>1</v>
      </c>
      <c r="J56" s="87" t="s">
        <v>39</v>
      </c>
      <c r="K56" s="84" t="b">
        <f>IF(_xlfn.XOR($K$11&gt;96-$F$5,$K$11&gt;96+$F$5,),FALSE,TRUE)</f>
        <v>1</v>
      </c>
    </row>
    <row r="57" spans="2:11" x14ac:dyDescent="0.25">
      <c r="B57" s="87" t="s">
        <v>129</v>
      </c>
      <c r="C57" s="84" t="b">
        <f>IF(_xlfn.XOR($C$12&gt;24-$F$5,$C$12&gt;24+$F$5,),FALSE,TRUE)</f>
        <v>1</v>
      </c>
      <c r="F57" s="87" t="s">
        <v>141</v>
      </c>
      <c r="G57" s="84" t="b">
        <f>IF(_xlfn.XOR($G$12&gt;24-$F$5,$G$12&gt;24+$F$5,),FALSE,TRUE)</f>
        <v>0</v>
      </c>
      <c r="J57" s="87" t="s">
        <v>153</v>
      </c>
      <c r="K57" s="84" t="b">
        <f>IF(_xlfn.XOR($K$12&gt;24-$F$5,$K$12&gt;24+$F$5,),FALSE,TRUE)</f>
        <v>1</v>
      </c>
    </row>
    <row r="58" spans="2:11" x14ac:dyDescent="0.25">
      <c r="B58" s="87" t="s">
        <v>39</v>
      </c>
      <c r="C58" s="84" t="b">
        <f>IF(_xlfn.XOR($C$12&gt;24-$F$5,$C$12&gt;24+$F$5,),FALSE,TRUE)</f>
        <v>1</v>
      </c>
      <c r="F58" s="87" t="s">
        <v>39</v>
      </c>
      <c r="G58" s="84" t="b">
        <f>IF(_xlfn.XOR($G$12&gt;24-$F$5,$G$12&gt;24+$F$5,),FALSE,TRUE)</f>
        <v>0</v>
      </c>
      <c r="J58" s="87" t="s">
        <v>39</v>
      </c>
      <c r="K58" s="84" t="b">
        <f>IF(_xlfn.XOR($K$12&gt;24-$F$5,$K$12&gt;24+$F$5,),FALSE,TRUE)</f>
        <v>1</v>
      </c>
    </row>
    <row r="59" spans="2:11" x14ac:dyDescent="0.25">
      <c r="B59" s="87" t="s">
        <v>130</v>
      </c>
      <c r="C59" s="84" t="b">
        <f>IF(_xlfn.XOR($C$12&gt;48-$F$5,$C$12&gt;48+$F$5,),FALSE,TRUE)</f>
        <v>1</v>
      </c>
      <c r="F59" s="87" t="s">
        <v>142</v>
      </c>
      <c r="G59" s="84" t="b">
        <f>IF(_xlfn.XOR($G$12&gt;48-$F$5,$G$12&gt;48+$F$5,),FALSE,TRUE)</f>
        <v>1</v>
      </c>
      <c r="J59" s="87" t="s">
        <v>154</v>
      </c>
      <c r="K59" s="84" t="b">
        <f>IF(_xlfn.XOR($K$12&gt;48-$F$5,$K$12&gt;48+$F$5,),FALSE,TRUE)</f>
        <v>1</v>
      </c>
    </row>
    <row r="60" spans="2:11" x14ac:dyDescent="0.25">
      <c r="B60" s="87" t="s">
        <v>39</v>
      </c>
      <c r="C60" s="84" t="b">
        <f>IF(_xlfn.XOR($C$12&gt;48-$F$5,$C$12&gt;48+$F$5,),FALSE,TRUE)</f>
        <v>1</v>
      </c>
      <c r="F60" s="87" t="s">
        <v>39</v>
      </c>
      <c r="G60" s="84" t="b">
        <f>IF(_xlfn.XOR($G$12&gt;48-$F$5,$G$12&gt;48+$F$5,),FALSE,TRUE)</f>
        <v>1</v>
      </c>
      <c r="J60" s="87" t="s">
        <v>39</v>
      </c>
      <c r="K60" s="84" t="b">
        <f>IF(_xlfn.XOR($K$12&gt;48-$F$5,$K$12&gt;48+$F$5,),FALSE,TRUE)</f>
        <v>1</v>
      </c>
    </row>
    <row r="61" spans="2:11" x14ac:dyDescent="0.25">
      <c r="B61" s="87" t="s">
        <v>131</v>
      </c>
      <c r="C61" s="84" t="b">
        <f>IF(_xlfn.XOR($C$12&gt;72-$F$5,$C$12&gt;72+$F$5,),FALSE,TRUE)</f>
        <v>1</v>
      </c>
      <c r="F61" s="87" t="s">
        <v>143</v>
      </c>
      <c r="G61" s="84" t="b">
        <f>IF(_xlfn.XOR($G$12&gt;72-$F$5,$G$12&gt;72+$F$5,),FALSE,TRUE)</f>
        <v>1</v>
      </c>
      <c r="J61" s="87" t="s">
        <v>155</v>
      </c>
      <c r="K61" s="84" t="b">
        <f>IF(_xlfn.XOR($K$12&gt;72-$F$5,$K$12&gt;72+$F$5,),FALSE,TRUE)</f>
        <v>1</v>
      </c>
    </row>
    <row r="62" spans="2:11" x14ac:dyDescent="0.25">
      <c r="B62" s="87" t="s">
        <v>39</v>
      </c>
      <c r="C62" s="84" t="b">
        <f>IF(_xlfn.XOR($C$12&gt;72-$F$5,$C$12&gt;72+$F$5,),FALSE,TRUE)</f>
        <v>1</v>
      </c>
      <c r="F62" s="87" t="s">
        <v>39</v>
      </c>
      <c r="G62" s="84" t="b">
        <f>IF(_xlfn.XOR($G$12&gt;72-$F$5,$G$12&gt;72+$F$5,),FALSE,TRUE)</f>
        <v>1</v>
      </c>
      <c r="J62" s="87" t="s">
        <v>39</v>
      </c>
      <c r="K62" s="84" t="b">
        <f>IF(_xlfn.XOR($K$12&gt;72-$F$5,$K$12&gt;72+$F$5,),FALSE,TRUE)</f>
        <v>1</v>
      </c>
    </row>
    <row r="63" spans="2:11" x14ac:dyDescent="0.25">
      <c r="B63" s="87" t="s">
        <v>132</v>
      </c>
      <c r="C63" s="84" t="b">
        <f>IF(_xlfn.XOR($C$12&gt;96-$F$5,$C$12&gt;96+$F$5,),FALSE,TRUE)</f>
        <v>1</v>
      </c>
      <c r="F63" s="87" t="s">
        <v>144</v>
      </c>
      <c r="G63" s="84" t="b">
        <f>IF(_xlfn.XOR($G$12&gt;96-$F$5,$G$12&gt;96+$F$5,),FALSE,TRUE)</f>
        <v>1</v>
      </c>
      <c r="J63" s="87" t="s">
        <v>156</v>
      </c>
      <c r="K63" s="84" t="b">
        <f>IF(_xlfn.XOR($K$12&gt;96-$F$5,$K$12&gt;96+$F$5,),FALSE,TRUE)</f>
        <v>1</v>
      </c>
    </row>
    <row r="64" spans="2:11" x14ac:dyDescent="0.25">
      <c r="B64" s="87" t="s">
        <v>39</v>
      </c>
      <c r="C64" s="84" t="b">
        <f>IF(_xlfn.XOR($C$12&gt;96-$F$5,$C$12&gt;96+$F$5,),FALSE,TRUE)</f>
        <v>1</v>
      </c>
      <c r="F64" s="87" t="s">
        <v>39</v>
      </c>
      <c r="G64" s="84" t="b">
        <f>IF(_xlfn.XOR($G$12&gt;96-$F$5,$G$12&gt;96+$F$5,),FALSE,TRUE)</f>
        <v>1</v>
      </c>
      <c r="J64" s="87" t="s">
        <v>39</v>
      </c>
      <c r="K64" s="84" t="b">
        <f>IF(_xlfn.XOR($K$12&gt;96-$F$5,$K$12&gt;96+$F$5,),FALSE,TRUE)</f>
        <v>1</v>
      </c>
    </row>
    <row r="65" spans="2:23" x14ac:dyDescent="0.25">
      <c r="B65" s="87" t="s">
        <v>166</v>
      </c>
      <c r="C65" s="64" t="b">
        <f>$C$10&gt;=$F$4</f>
        <v>0</v>
      </c>
      <c r="F65" s="87" t="s">
        <v>165</v>
      </c>
      <c r="G65" s="64" t="b">
        <f>$G$10&gt;=$F$4</f>
        <v>1</v>
      </c>
      <c r="J65" s="87" t="s">
        <v>164</v>
      </c>
      <c r="K65" s="64" t="b">
        <f>$K$10&gt;=$F$4</f>
        <v>1</v>
      </c>
      <c r="M65" s="64" t="s">
        <v>117</v>
      </c>
    </row>
    <row r="66" spans="2:23" x14ac:dyDescent="0.25">
      <c r="B66" s="87" t="s">
        <v>39</v>
      </c>
      <c r="C66" s="64" t="b">
        <f>$C$10&gt;=$F$4</f>
        <v>0</v>
      </c>
      <c r="F66" s="87" t="s">
        <v>39</v>
      </c>
      <c r="G66" s="64" t="b">
        <f>$G$10&gt;=$F$4</f>
        <v>1</v>
      </c>
      <c r="J66" s="87" t="s">
        <v>39</v>
      </c>
      <c r="K66" s="64" t="b">
        <f>$K$10&gt;=$F$4</f>
        <v>1</v>
      </c>
    </row>
    <row r="67" spans="2:23" x14ac:dyDescent="0.25">
      <c r="B67" s="87" t="s">
        <v>39</v>
      </c>
      <c r="C67" s="64" t="b">
        <f>$C$10&gt;=$F$4</f>
        <v>0</v>
      </c>
      <c r="F67" s="87" t="s">
        <v>39</v>
      </c>
      <c r="G67" s="64" t="b">
        <f>$G$10&gt;=$F$4</f>
        <v>1</v>
      </c>
      <c r="J67" s="87" t="s">
        <v>39</v>
      </c>
      <c r="K67" s="64" t="b">
        <f>$K$10&gt;=$F$4</f>
        <v>1</v>
      </c>
    </row>
    <row r="68" spans="2:23" x14ac:dyDescent="0.25">
      <c r="B68" s="87" t="s">
        <v>167</v>
      </c>
      <c r="C68" s="64" t="b">
        <f>$C$11&gt;=$F$4</f>
        <v>1</v>
      </c>
      <c r="F68" s="87" t="s">
        <v>168</v>
      </c>
      <c r="G68" s="64" t="b">
        <f>$G$11&gt;=$F$4</f>
        <v>1</v>
      </c>
      <c r="J68" s="87" t="s">
        <v>169</v>
      </c>
      <c r="K68" s="64" t="b">
        <f>$K$11&gt;=$F$4</f>
        <v>1</v>
      </c>
      <c r="M68" s="64" t="s">
        <v>117</v>
      </c>
    </row>
    <row r="69" spans="2:23" x14ac:dyDescent="0.25">
      <c r="B69" s="87" t="s">
        <v>39</v>
      </c>
      <c r="C69" s="64" t="b">
        <f>$C$11&gt;=$F$4</f>
        <v>1</v>
      </c>
      <c r="F69" s="87" t="s">
        <v>39</v>
      </c>
      <c r="G69" s="64" t="b">
        <f>$G$11&gt;=$F$4</f>
        <v>1</v>
      </c>
      <c r="J69" s="90" t="s">
        <v>173</v>
      </c>
      <c r="K69" s="64" t="b">
        <f>$K$11&gt;=$F$4</f>
        <v>1</v>
      </c>
    </row>
    <row r="70" spans="2:23" x14ac:dyDescent="0.25">
      <c r="B70" s="87" t="s">
        <v>39</v>
      </c>
      <c r="C70" s="64" t="b">
        <f>$C$11&gt;=$F$4</f>
        <v>1</v>
      </c>
      <c r="F70" s="87" t="s">
        <v>39</v>
      </c>
      <c r="G70" s="64" t="b">
        <f>$G$11&gt;=$F$4</f>
        <v>1</v>
      </c>
      <c r="J70" s="87" t="s">
        <v>39</v>
      </c>
      <c r="K70" s="64" t="b">
        <f>$K$11&gt;=$F$4</f>
        <v>1</v>
      </c>
    </row>
    <row r="71" spans="2:23" x14ac:dyDescent="0.25">
      <c r="B71" s="87" t="s">
        <v>172</v>
      </c>
      <c r="C71" s="64" t="b">
        <f>$C$12&gt;=$F$4</f>
        <v>1</v>
      </c>
      <c r="F71" s="87" t="s">
        <v>171</v>
      </c>
      <c r="G71" s="64" t="b">
        <f>$G$12&gt;=$F$4</f>
        <v>1</v>
      </c>
      <c r="J71" s="87" t="s">
        <v>170</v>
      </c>
      <c r="K71" s="64" t="b">
        <f>$K$12&gt;=$F$4</f>
        <v>1</v>
      </c>
      <c r="M71" s="64" t="s">
        <v>117</v>
      </c>
    </row>
    <row r="72" spans="2:23" x14ac:dyDescent="0.25">
      <c r="B72" s="87" t="s">
        <v>39</v>
      </c>
      <c r="C72" s="64" t="b">
        <f>$C$12&gt;=$F$4</f>
        <v>1</v>
      </c>
      <c r="F72" s="87" t="s">
        <v>39</v>
      </c>
      <c r="G72" s="64" t="b">
        <f>$G$12&gt;=$F$4</f>
        <v>1</v>
      </c>
      <c r="J72" s="87" t="s">
        <v>39</v>
      </c>
      <c r="K72" s="64" t="b">
        <f>$K$12&gt;=$F$4</f>
        <v>1</v>
      </c>
    </row>
    <row r="73" spans="2:23" x14ac:dyDescent="0.25">
      <c r="B73" s="87" t="s">
        <v>39</v>
      </c>
      <c r="C73" s="64" t="b">
        <f>$C$12&gt;=$F$4</f>
        <v>1</v>
      </c>
      <c r="F73" s="87" t="s">
        <v>39</v>
      </c>
      <c r="G73" s="64" t="b">
        <f>$G$12&gt;=$F$4</f>
        <v>1</v>
      </c>
      <c r="J73" s="87" t="s">
        <v>39</v>
      </c>
      <c r="K73" s="64" t="b">
        <f>$K$12&gt;=$F$4</f>
        <v>1</v>
      </c>
    </row>
    <row r="74" spans="2:23" x14ac:dyDescent="0.25">
      <c r="B74" s="91" t="s">
        <v>104</v>
      </c>
      <c r="C74" s="77" t="b">
        <f>$C$15&gt;=$G$15</f>
        <v>1</v>
      </c>
      <c r="F74" s="91" t="s">
        <v>109</v>
      </c>
      <c r="G74" s="77" t="b">
        <f>$G$15&gt;=$C$15</f>
        <v>0</v>
      </c>
      <c r="J74" s="91" t="s">
        <v>110</v>
      </c>
      <c r="K74" s="77" t="b">
        <f>$K$15&gt;=$G$15</f>
        <v>1</v>
      </c>
      <c r="M74" s="64" t="s">
        <v>118</v>
      </c>
      <c r="S74" s="87"/>
      <c r="W74" s="87"/>
    </row>
    <row r="75" spans="2:23" ht="14.4" customHeight="1" x14ac:dyDescent="0.25">
      <c r="B75" s="91" t="s">
        <v>105</v>
      </c>
      <c r="C75" s="77" t="b">
        <f>$C$15&gt;=$K$15</f>
        <v>1</v>
      </c>
      <c r="F75" s="91" t="s">
        <v>120</v>
      </c>
      <c r="G75" s="77" t="b">
        <f>$G$15&gt;=$K$15</f>
        <v>0</v>
      </c>
      <c r="J75" s="91" t="s">
        <v>119</v>
      </c>
      <c r="K75" s="77" t="b">
        <f>$K$15&gt;=$C$15</f>
        <v>0</v>
      </c>
      <c r="M75" s="64" t="s">
        <v>118</v>
      </c>
    </row>
    <row r="76" spans="2:23" x14ac:dyDescent="0.25">
      <c r="B76" s="87" t="s">
        <v>106</v>
      </c>
      <c r="C76" s="64" t="b">
        <f>$B$13&lt;$F$13</f>
        <v>1</v>
      </c>
      <c r="F76" s="87" t="s">
        <v>107</v>
      </c>
      <c r="G76" s="64" t="b">
        <f>$F$13&lt;$J$13</f>
        <v>0</v>
      </c>
      <c r="J76" s="87" t="s">
        <v>108</v>
      </c>
      <c r="K76" s="64" t="b">
        <f>$J$13&lt;$F$13</f>
        <v>0</v>
      </c>
    </row>
    <row r="77" spans="2:23" x14ac:dyDescent="0.25">
      <c r="B77" s="87" t="s">
        <v>114</v>
      </c>
      <c r="C77" s="64" t="b">
        <f>$B$13&lt;$J$13</f>
        <v>1</v>
      </c>
      <c r="F77" s="87" t="s">
        <v>115</v>
      </c>
      <c r="G77" s="64" t="b">
        <f>$F$13&lt;$B$13</f>
        <v>0</v>
      </c>
      <c r="J77" s="87" t="s">
        <v>116</v>
      </c>
      <c r="K77" s="64" t="b">
        <f>$J$13&lt;$B$13</f>
        <v>0</v>
      </c>
    </row>
    <row r="78" spans="2:23" x14ac:dyDescent="0.25">
      <c r="B78" s="87" t="s">
        <v>111</v>
      </c>
      <c r="C78" s="64" t="b">
        <f>$C$10&lt;&gt;$C$12</f>
        <v>1</v>
      </c>
      <c r="F78" s="87" t="s">
        <v>112</v>
      </c>
      <c r="G78" s="64" t="b">
        <f>$G$10&lt;&gt;$G$12</f>
        <v>1</v>
      </c>
      <c r="J78" s="87" t="s">
        <v>113</v>
      </c>
      <c r="K78" s="64" t="b">
        <f>$K$10&lt;&gt;$K$12</f>
        <v>1</v>
      </c>
    </row>
    <row r="79" spans="2:23" x14ac:dyDescent="0.25">
      <c r="B79" s="87" t="s">
        <v>10</v>
      </c>
      <c r="C79" s="64" t="b">
        <f>$C$10=0</f>
        <v>1</v>
      </c>
      <c r="F79" s="87" t="s">
        <v>15</v>
      </c>
      <c r="G79" s="64" t="b">
        <f>$G$10=0</f>
        <v>0</v>
      </c>
      <c r="J79" s="87" t="s">
        <v>20</v>
      </c>
      <c r="K79" s="64" t="b">
        <f>$K$10=0</f>
        <v>0</v>
      </c>
    </row>
    <row r="80" spans="2:23" x14ac:dyDescent="0.25">
      <c r="B80" s="87" t="s">
        <v>39</v>
      </c>
      <c r="C80" s="64" t="b">
        <f>$C$10=0</f>
        <v>1</v>
      </c>
      <c r="F80" s="87" t="s">
        <v>39</v>
      </c>
      <c r="G80" s="64" t="b">
        <f>$G$10=0</f>
        <v>0</v>
      </c>
      <c r="J80" s="87" t="s">
        <v>39</v>
      </c>
      <c r="K80" s="64" t="b">
        <f>$K$10=0</f>
        <v>0</v>
      </c>
    </row>
    <row r="81" spans="2:11" x14ac:dyDescent="0.25">
      <c r="B81" s="87"/>
      <c r="F81" s="87"/>
      <c r="J81" s="87"/>
    </row>
    <row r="82" spans="2:11" x14ac:dyDescent="0.25">
      <c r="B82" s="85" t="s">
        <v>25</v>
      </c>
      <c r="C82" s="86">
        <f>COUNTIF($C$41:$C$80,TRUE)</f>
        <v>37</v>
      </c>
      <c r="F82" s="85" t="s">
        <v>25</v>
      </c>
      <c r="G82" s="86">
        <f>COUNTIF($G$41:$G$80,TRUE)</f>
        <v>30</v>
      </c>
      <c r="J82" s="85" t="s">
        <v>25</v>
      </c>
      <c r="K82" s="86">
        <f>COUNTIF($K$41:$K$80,TRUE)</f>
        <v>33</v>
      </c>
    </row>
  </sheetData>
  <sheetProtection sheet="1" objects="1" scenarios="1"/>
  <mergeCells count="6">
    <mergeCell ref="H6:K6"/>
    <mergeCell ref="A1:K1"/>
    <mergeCell ref="H3:K3"/>
    <mergeCell ref="H4:K4"/>
    <mergeCell ref="H5:K5"/>
    <mergeCell ref="D5:E5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F37"/>
  <sheetViews>
    <sheetView workbookViewId="0">
      <selection activeCell="L8" sqref="L8"/>
    </sheetView>
  </sheetViews>
  <sheetFormatPr defaultRowHeight="14.4" x14ac:dyDescent="0.3"/>
  <cols>
    <col min="2" max="2" width="15.88671875" bestFit="1" customWidth="1"/>
    <col min="3" max="3" width="13.21875" bestFit="1" customWidth="1"/>
    <col min="4" max="4" width="4" bestFit="1" customWidth="1"/>
    <col min="5" max="5" width="6.6640625" bestFit="1" customWidth="1"/>
    <col min="6" max="6" width="10.21875" bestFit="1" customWidth="1"/>
  </cols>
  <sheetData>
    <row r="2" spans="2:6" ht="15.6" x14ac:dyDescent="0.3">
      <c r="B2" s="20" t="s">
        <v>94</v>
      </c>
      <c r="C2" s="20" t="s">
        <v>67</v>
      </c>
      <c r="D2" s="20"/>
      <c r="E2" s="20" t="s">
        <v>68</v>
      </c>
      <c r="F2" s="20" t="s">
        <v>69</v>
      </c>
    </row>
    <row r="3" spans="2:6" x14ac:dyDescent="0.3">
      <c r="B3" s="3">
        <v>96</v>
      </c>
      <c r="C3" s="3">
        <v>8</v>
      </c>
      <c r="D3" s="3"/>
      <c r="E3" s="3" t="s">
        <v>70</v>
      </c>
      <c r="F3" s="3" t="s">
        <v>71</v>
      </c>
    </row>
    <row r="4" spans="2:6" x14ac:dyDescent="0.3">
      <c r="B4" s="3">
        <v>120</v>
      </c>
      <c r="C4" s="3">
        <f>C3+2</f>
        <v>10</v>
      </c>
      <c r="D4" s="3"/>
      <c r="E4" s="3" t="s">
        <v>72</v>
      </c>
      <c r="F4" s="3" t="s">
        <v>73</v>
      </c>
    </row>
    <row r="5" spans="2:6" x14ac:dyDescent="0.3">
      <c r="B5" s="3">
        <v>144</v>
      </c>
      <c r="C5" s="3">
        <f t="shared" ref="C5:C6" si="0">C4+2</f>
        <v>12</v>
      </c>
      <c r="D5" s="3"/>
      <c r="E5" s="3"/>
      <c r="F5" s="3"/>
    </row>
    <row r="6" spans="2:6" x14ac:dyDescent="0.3">
      <c r="B6" s="3">
        <v>168</v>
      </c>
      <c r="C6" s="3">
        <f t="shared" si="0"/>
        <v>14</v>
      </c>
      <c r="D6" s="3"/>
      <c r="E6" s="3"/>
      <c r="F6" s="3"/>
    </row>
    <row r="7" spans="2:6" x14ac:dyDescent="0.3">
      <c r="B7" s="3">
        <v>192</v>
      </c>
      <c r="C7" s="3">
        <f>C6+2</f>
        <v>16</v>
      </c>
      <c r="D7" s="3"/>
      <c r="E7" s="3"/>
      <c r="F7" s="3"/>
    </row>
    <row r="8" spans="2:6" x14ac:dyDescent="0.3">
      <c r="B8" s="3"/>
      <c r="C8" s="3"/>
      <c r="D8" s="3"/>
      <c r="E8" s="3"/>
      <c r="F8" s="3"/>
    </row>
    <row r="9" spans="2:6" x14ac:dyDescent="0.3">
      <c r="B9" s="3"/>
      <c r="C9" s="3"/>
      <c r="D9" s="3"/>
      <c r="E9" s="3"/>
      <c r="F9" s="3"/>
    </row>
    <row r="10" spans="2:6" ht="15" thickBot="1" x14ac:dyDescent="0.35">
      <c r="B10" s="3"/>
      <c r="C10" s="3"/>
      <c r="D10" s="3"/>
      <c r="E10" s="3"/>
      <c r="F10" s="3"/>
    </row>
    <row r="11" spans="2:6" ht="15" thickBot="1" x14ac:dyDescent="0.35">
      <c r="B11" s="21" t="s">
        <v>74</v>
      </c>
      <c r="C11" s="22"/>
      <c r="D11" s="1"/>
      <c r="E11" s="1"/>
      <c r="F11" s="1"/>
    </row>
    <row r="12" spans="2:6" x14ac:dyDescent="0.3">
      <c r="B12" s="1"/>
      <c r="C12" s="2" t="s">
        <v>75</v>
      </c>
      <c r="D12" s="2"/>
      <c r="E12" s="1"/>
      <c r="F12" s="1"/>
    </row>
    <row r="13" spans="2:6" x14ac:dyDescent="0.3">
      <c r="B13" s="1"/>
      <c r="C13" s="2" t="s">
        <v>76</v>
      </c>
      <c r="D13" s="2"/>
      <c r="E13" s="1"/>
      <c r="F13" s="1"/>
    </row>
    <row r="14" spans="2:6" x14ac:dyDescent="0.3">
      <c r="B14" s="1"/>
      <c r="C14" s="2" t="s">
        <v>77</v>
      </c>
      <c r="D14" s="2">
        <v>96</v>
      </c>
      <c r="E14" s="1"/>
      <c r="F14" s="1"/>
    </row>
    <row r="15" spans="2:6" ht="15" thickBot="1" x14ac:dyDescent="0.35">
      <c r="B15" s="1"/>
      <c r="C15" s="2" t="s">
        <v>78</v>
      </c>
      <c r="D15" s="2"/>
      <c r="E15" s="1"/>
      <c r="F15" s="1"/>
    </row>
    <row r="16" spans="2:6" ht="15" thickBot="1" x14ac:dyDescent="0.35">
      <c r="B16" s="21" t="s">
        <v>79</v>
      </c>
      <c r="C16" s="23"/>
      <c r="D16" s="24"/>
      <c r="E16" s="1"/>
      <c r="F16" s="1"/>
    </row>
    <row r="17" spans="2:6" x14ac:dyDescent="0.3">
      <c r="B17" s="3"/>
      <c r="C17" s="2" t="s">
        <v>80</v>
      </c>
      <c r="D17" s="2"/>
      <c r="E17" s="3"/>
      <c r="F17" s="3"/>
    </row>
    <row r="18" spans="2:6" x14ac:dyDescent="0.3">
      <c r="B18" s="3"/>
      <c r="C18" s="2" t="s">
        <v>81</v>
      </c>
      <c r="D18" s="2"/>
      <c r="E18" s="3"/>
      <c r="F18" s="3"/>
    </row>
    <row r="19" spans="2:6" x14ac:dyDescent="0.3">
      <c r="B19" s="3"/>
      <c r="C19" s="2" t="s">
        <v>82</v>
      </c>
      <c r="D19" s="2">
        <v>108</v>
      </c>
      <c r="E19" s="3"/>
      <c r="F19" s="3"/>
    </row>
    <row r="20" spans="2:6" ht="15" thickBot="1" x14ac:dyDescent="0.35">
      <c r="B20" s="3"/>
      <c r="C20" s="2" t="s">
        <v>83</v>
      </c>
      <c r="D20" s="2"/>
      <c r="E20" s="3"/>
      <c r="F20" s="3"/>
    </row>
    <row r="21" spans="2:6" ht="15" thickBot="1" x14ac:dyDescent="0.35">
      <c r="B21" s="21" t="s">
        <v>84</v>
      </c>
      <c r="C21" s="23"/>
      <c r="D21" s="24"/>
      <c r="E21" s="3"/>
      <c r="F21" s="3"/>
    </row>
    <row r="22" spans="2:6" x14ac:dyDescent="0.3">
      <c r="B22" s="3"/>
      <c r="C22" s="2" t="s">
        <v>85</v>
      </c>
      <c r="D22" s="2"/>
      <c r="E22" s="3"/>
      <c r="F22" s="3"/>
    </row>
    <row r="23" spans="2:6" x14ac:dyDescent="0.3">
      <c r="B23" s="3"/>
      <c r="C23" s="2" t="s">
        <v>86</v>
      </c>
      <c r="D23" s="2"/>
      <c r="E23" s="3"/>
      <c r="F23" s="3"/>
    </row>
    <row r="24" spans="2:6" x14ac:dyDescent="0.3">
      <c r="B24" s="3"/>
      <c r="C24" s="2" t="s">
        <v>87</v>
      </c>
      <c r="D24" s="2">
        <v>144</v>
      </c>
      <c r="E24" s="3"/>
      <c r="F24" s="3"/>
    </row>
    <row r="25" spans="2:6" x14ac:dyDescent="0.3">
      <c r="B25" s="25"/>
      <c r="C25" s="2" t="s">
        <v>87</v>
      </c>
      <c r="D25" s="2">
        <v>168</v>
      </c>
      <c r="E25" s="25"/>
      <c r="F25" s="25"/>
    </row>
    <row r="26" spans="2:6" x14ac:dyDescent="0.3">
      <c r="B26" s="3"/>
      <c r="C26" s="2" t="s">
        <v>87</v>
      </c>
      <c r="D26" s="2">
        <v>192</v>
      </c>
      <c r="E26" s="3"/>
      <c r="F26" s="3"/>
    </row>
    <row r="27" spans="2:6" ht="15" thickBot="1" x14ac:dyDescent="0.35">
      <c r="B27" s="3"/>
      <c r="C27" s="2" t="s">
        <v>88</v>
      </c>
      <c r="D27" s="2"/>
      <c r="E27" s="3"/>
      <c r="F27" s="3"/>
    </row>
    <row r="28" spans="2:6" ht="15" thickBot="1" x14ac:dyDescent="0.35">
      <c r="B28" s="21" t="s">
        <v>89</v>
      </c>
      <c r="C28" s="23"/>
      <c r="D28" s="26"/>
      <c r="E28" s="3"/>
      <c r="F28" s="3"/>
    </row>
    <row r="29" spans="2:6" x14ac:dyDescent="0.3">
      <c r="B29" s="3"/>
      <c r="C29" s="2" t="s">
        <v>90</v>
      </c>
      <c r="D29" s="2"/>
      <c r="E29" s="3"/>
      <c r="F29" s="3"/>
    </row>
    <row r="30" spans="2:6" x14ac:dyDescent="0.3">
      <c r="B30" s="3"/>
      <c r="C30" s="2" t="s">
        <v>91</v>
      </c>
      <c r="D30" s="2"/>
      <c r="E30" s="3"/>
      <c r="F30" s="3"/>
    </row>
    <row r="31" spans="2:6" x14ac:dyDescent="0.3">
      <c r="B31" s="3"/>
      <c r="C31" s="2" t="s">
        <v>92</v>
      </c>
      <c r="D31" s="2">
        <v>144</v>
      </c>
      <c r="E31" s="3"/>
      <c r="F31" s="3"/>
    </row>
    <row r="32" spans="2:6" ht="15" thickBot="1" x14ac:dyDescent="0.35">
      <c r="B32" s="3"/>
      <c r="C32" s="2" t="s">
        <v>93</v>
      </c>
      <c r="D32" s="2"/>
      <c r="E32" s="3"/>
      <c r="F32" s="3"/>
    </row>
    <row r="33" spans="2:6" ht="15" thickBot="1" x14ac:dyDescent="0.35">
      <c r="B33" s="21" t="s">
        <v>95</v>
      </c>
      <c r="C33" s="23"/>
      <c r="D33" s="26"/>
      <c r="E33" s="3"/>
      <c r="F33" s="3"/>
    </row>
    <row r="34" spans="2:6" x14ac:dyDescent="0.3">
      <c r="B34" s="3"/>
      <c r="C34" s="2" t="s">
        <v>98</v>
      </c>
      <c r="D34" s="2"/>
    </row>
    <row r="35" spans="2:6" x14ac:dyDescent="0.3">
      <c r="B35" s="3"/>
      <c r="C35" s="2" t="s">
        <v>96</v>
      </c>
      <c r="D35" s="2"/>
    </row>
    <row r="36" spans="2:6" x14ac:dyDescent="0.3">
      <c r="B36" s="3"/>
      <c r="C36" s="2" t="s">
        <v>99</v>
      </c>
      <c r="D36" s="2">
        <v>120</v>
      </c>
    </row>
    <row r="37" spans="2:6" x14ac:dyDescent="0.3">
      <c r="B37" s="3"/>
      <c r="C37" s="2" t="s">
        <v>97</v>
      </c>
      <c r="D3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Side splice 24"</vt:lpstr>
      <vt:lpstr>Lower Ass.</vt:lpstr>
      <vt:lpstr> Side Splice 28"</vt:lpstr>
      <vt:lpstr>Inventory</vt:lpstr>
      <vt:lpstr>' Side Splice 28"'!Print_Area</vt:lpstr>
      <vt:lpstr>'Lower Ass.'!Print_Area</vt:lpstr>
      <vt:lpstr>'Side splice 24"'!Print_Area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Knowles</dc:creator>
  <cp:lastModifiedBy>Cory Schudel</cp:lastModifiedBy>
  <cp:lastPrinted>2016-05-23T21:25:29Z</cp:lastPrinted>
  <dcterms:created xsi:type="dcterms:W3CDTF">2015-07-23T20:03:58Z</dcterms:created>
  <dcterms:modified xsi:type="dcterms:W3CDTF">2016-05-24T19:30:38Z</dcterms:modified>
</cp:coreProperties>
</file>